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D3831284-51DB-4BD0-BD57-3DFEE6222DEC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3" i="4" l="1"/>
  <c r="B42" i="4"/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4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G77" i="1" l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<sst xmlns="http://schemas.openxmlformats.org/spreadsheetml/2006/main" count="650" uniqueCount="306">
  <si>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</si>
  <si>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</si>
  <si>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</si>
  <si>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</si>
  <si>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</si>
  <si>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</si>
  <si>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</si>
  <si>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</si>
  <si>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</si>
  <si>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</si>
  <si>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</si>
  <si>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</si>
  <si>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</si>
  <si>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</si>
  <si>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</si>
  <si>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</si>
  <si>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</si>
  <si>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</si>
  <si>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</si>
  <si>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</si>
  <si>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</si>
  <si>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</si>
  <si>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</si>
  <si>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</si>
  <si>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</si>
  <si>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</si>
  <si>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</si>
  <si>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</si>
  <si>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</si>
  <si>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</si>
  <si>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</si>
  <si>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</si>
  <si>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</si>
  <si>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</si>
  <si>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</si>
  <si>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</si>
  <si>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</si>
  <si>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</si>
  <si>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</si>
  <si>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</si>
  <si>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</si>
  <si>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</si>
  <si>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</si>
  <si>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</si>
  <si>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</si>
  <si>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</si>
  <si>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</si>
  <si>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</si>
  <si>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</si>
  <si>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</si>
  <si>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</si>
  <si>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</si>
  <si>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</si>
  <si>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</si>
  <si>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</si>
  <si>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</si>
  <si>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</si>
  <si>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</si>
  <si>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</si>
  <si>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</si>
  <si>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</si>
  <si>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</si>
  <si>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</si>
  <si>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</si>
  <si>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</si>
  <si>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</si>
  <si>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</si>
  <si>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</si>
  <si>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</si>
  <si>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</si>
  <si>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</si>
  <si>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</si>
  <si>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</si>
  <si>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</si>
  <si>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</si>
  <si>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</si>
  <si>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</si>
  <si>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</si>
  <si>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</si>
  <si>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</si>
  <si>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</si>
  <si>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</si>
  <si>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</si>
  <si>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</si>
  <si>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</si>
  <si>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</si>
  <si>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</si>
  <si>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</si>
  <si>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</si>
  <si>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</si>
  <si>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</si>
  <si>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</si>
  <si>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</si>
  <si>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</si>
  <si>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</si>
  <si>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</si>
  <si>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</si>
  <si>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</si>
  <si>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</si>
  <si>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</si>
  <si>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</si>
  <si>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</si>
  <si>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</si>
  <si>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</si>
  <si>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</si>
  <si>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</si>
  <si>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</si>
  <si>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</si>
  <si>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</si>
  <si>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</si>
  <si>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</si>
  <si>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</si>
  <si>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</si>
  <si>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</si>
  <si>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</si>
  <si>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</si>
  <si>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</si>
  <si>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</si>
  <si>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</si>
  <si>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</si>
  <si>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</si>
  <si>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</si>
  <si>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</si>
  <si>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</si>
  <si>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</si>
  <si>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</si>
  <si>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</si>
  <si>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</si>
  <si>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</si>
  <si>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</si>
  <si>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</si>
  <si>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</si>
  <si>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</si>
  <si>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</si>
  <si>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</si>
  <si>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</si>
  <si>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</si>
  <si>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</si>
  <si>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</si>
  <si>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</si>
  <si>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</si>
  <si>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</si>
  <si>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</si>
  <si>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</si>
  <si>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</si>
  <si>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</si>
  <si>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</si>
  <si>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</si>
  <si>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</si>
  <si>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</si>
  <si>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</si>
  <si>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</si>
  <si>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</si>
  <si>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</si>
  <si>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</si>
  <si>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</si>
  <si>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</si>
  <si>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</si>
  <si>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</si>
  <si>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</si>
  <si>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</si>
  <si>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</si>
  <si>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</si>
  <si>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</si>
  <si>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</si>
  <si>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</si>
  <si>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</si>
  <si>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</si>
  <si>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</si>
  <si>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</si>
  <si>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</si>
  <si>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</si>
  <si>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</si>
  <si>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</si>
  <si>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</si>
  <si>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</si>
  <si>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</si>
  <si>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</si>
  <si>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</si>
  <si>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</si>
  <si>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</si>
  <si>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</si>
  <si>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</si>
  <si>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</si>
  <si>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</si>
  <si>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</si>
  <si>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</si>
  <si>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</si>
  <si>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</si>
  <si>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</si>
  <si>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</si>
  <si>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</si>
  <si>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</si>
  <si>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</si>
  <si>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</si>
  <si>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</si>
  <si>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</si>
  <si>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</si>
  <si>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</si>
  <si>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</si>
  <si>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</si>
  <si>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</si>
  <si>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</si>
  <si>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</si>
  <si>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</si>
  <si>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</si>
  <si>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</si>
  <si>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</si>
  <si>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</si>
  <si>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</si>
  <si>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</si>
  <si>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</si>
  <si>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</si>
  <si>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</si>
  <si>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</si>
  <si>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</si>
  <si>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</si>
  <si>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</si>
  <si>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</si>
  <si>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</si>
  <si>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</si>
  <si>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</si>
  <si>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</si>
  <si>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</si>
  <si>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</si>
  <si>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</si>
  <si>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</si>
  <si>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</si>
  <si>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</si>
  <si>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</si>
  <si>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</si>
  <si>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</si>
  <si>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</si>
  <si>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</si>
  <si>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</si>
  <si>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</si>
  <si>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</si>
  <si>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</si>
  <si>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</si>
  <si>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</si>
  <si>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</si>
  <si>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</si>
  <si>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</si>
  <si>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</si>
  <si>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</si>
  <si>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</si>
  <si>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</si>
  <si>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</si>
  <si>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</si>
  <si>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</si>
  <si>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</si>
  <si>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</si>
  <si>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</si>
  <si>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</si>
  <si>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</si>
  <si>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</si>
  <si>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</si>
  <si>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</si>
  <si>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</si>
  <si>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</si>
  <si>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</si>
  <si>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</si>
  <si>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</si>
  <si>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</si>
  <si>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</si>
  <si>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</si>
  <si>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</si>
  <si>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</si>
  <si>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</si>
  <si>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</si>
  <si>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</si>
  <si>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</si>
  <si>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</si>
  <si>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</si>
  <si>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</si>
  <si>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</si>
  <si>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</si>
  <si>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</si>
  <si>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</si>
  <si>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</si>
  <si>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</si>
  <si>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</si>
  <si>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</si>
  <si>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</si>
  <si>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</si>
  <si>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</si>
  <si>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</si>
  <si>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</si>
  <si>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</si>
  <si>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</si>
  <si>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</si>
  <si>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</si>
  <si>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Atlantico Sur: Dakar, Cayenne (Guayana Francesa) , Pointe-Noire(Congo Francés)</t>
  </si>
  <si>
    <t>Ver colonia</t>
  </si>
  <si>
    <t>Dakar-Bamako (Africa Oeste)</t>
  </si>
  <si>
    <t>Bélgica (hasta 1899)</t>
  </si>
  <si>
    <t>Argentina (hasta 1897)</t>
  </si>
  <si>
    <t>España (hasta 1898)</t>
  </si>
  <si>
    <t>Ver Colonia</t>
  </si>
  <si>
    <t>Tombuctú</t>
  </si>
  <si>
    <t>3 Industrias en Bélgica, 1 en Congo Francés.</t>
  </si>
  <si>
    <t>(BM) Buques Menores B</t>
  </si>
  <si>
    <t>Bégica</t>
  </si>
  <si>
    <t>(AL) Armas Ligeras B</t>
  </si>
  <si>
    <t>(Ac) Acorazados B</t>
  </si>
  <si>
    <t>Exóticos en Indochina, Martinica, Senegal, Tombuctú y Costa de Marfil.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</si>
</sst>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0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12" xfId="0" applyNumberFormat="1" applyFill="1" applyBorder="1" applyAlignment="1">
      <alignment horizontal="center"/>
    </xf>
    <xf numFmtId="6" fontId="0" fillId="5" borderId="1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8" x14ac:dyDescent="0.5">
      <c r="A1" s="192" t="s">
        <v>231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</row>
    <row r="2" spans="1:18" ht="18" thickBot="1" x14ac:dyDescent="0.55000000000000004">
      <c r="A2" s="85" t="s">
        <v>9</v>
      </c>
      <c r="B2" s="85" t="s">
        <v>62</v>
      </c>
    </row>
    <row r="3" spans="1:18" ht="18" thickBot="1" x14ac:dyDescent="0.55000000000000004">
      <c r="A3" s="86" t="s">
        <v>64</v>
      </c>
      <c r="B3" s="86" t="s">
        <v>246</v>
      </c>
      <c r="G3" s="86" t="s">
        <v>79</v>
      </c>
      <c r="H3" s="86">
        <v>1897</v>
      </c>
    </row>
    <row r="4" spans="1:18" ht="18" thickBot="1" x14ac:dyDescent="0.55000000000000004">
      <c r="A4" s="86" t="s">
        <v>65</v>
      </c>
      <c r="B4" s="86">
        <v>38.04</v>
      </c>
      <c r="C4" s="87"/>
      <c r="G4" s="86" t="s">
        <v>80</v>
      </c>
      <c r="H4" s="86" t="s">
        <v>247</v>
      </c>
    </row>
    <row r="5" spans="1:18" ht="18" thickBot="1" x14ac:dyDescent="0.55000000000000004">
      <c r="A5" s="86" t="s">
        <v>66</v>
      </c>
      <c r="B5" s="88">
        <f>B4-Militar!P12</f>
        <v>27.82</v>
      </c>
      <c r="D5" s="185"/>
    </row>
    <row r="6" spans="1:18" ht="18" thickBot="1" x14ac:dyDescent="0.55000000000000004">
      <c r="A6" s="86" t="s">
        <v>67</v>
      </c>
      <c r="B6" s="86" t="s">
        <v>73</v>
      </c>
      <c r="D6" s="185"/>
    </row>
    <row r="7" spans="1:18" ht="18" thickBot="1" x14ac:dyDescent="0.55000000000000004">
      <c r="A7" s="199" t="s">
        <v>68</v>
      </c>
      <c r="B7" s="201"/>
      <c r="G7" s="216" t="s">
        <v>81</v>
      </c>
      <c r="H7" s="216"/>
      <c r="I7" s="89">
        <v>0</v>
      </c>
      <c r="J7" s="90"/>
    </row>
    <row r="8" spans="1:18" ht="18" thickBot="1" x14ac:dyDescent="0.55000000000000004">
      <c r="A8" s="86" t="s">
        <v>75</v>
      </c>
      <c r="B8" s="89">
        <f>(VLOOKUP(B6,Econ_chart,5,FALSE))*B5</f>
        <v>319.93</v>
      </c>
      <c r="C8" s="91"/>
      <c r="D8" s="181"/>
      <c r="G8" s="216" t="s">
        <v>82</v>
      </c>
      <c r="H8" s="216"/>
      <c r="I8" s="89">
        <f>I7*J13</f>
        <v>0</v>
      </c>
      <c r="R8" s="183"/>
    </row>
    <row r="9" spans="1:18" ht="18" thickBot="1" x14ac:dyDescent="0.55000000000000004">
      <c r="A9" s="86" t="s">
        <v>76</v>
      </c>
      <c r="B9" s="89">
        <f>Colonias!C7+Ferrocarriles!D1</f>
        <v>136</v>
      </c>
      <c r="C9" s="91"/>
      <c r="D9" s="181"/>
      <c r="E9" s="184"/>
      <c r="H9" s="86" t="s">
        <v>5</v>
      </c>
      <c r="I9" s="89">
        <f>SUM(I7:I8)</f>
        <v>0</v>
      </c>
      <c r="J9" s="92"/>
    </row>
    <row r="10" spans="1:18" ht="18" thickBot="1" x14ac:dyDescent="0.55000000000000004">
      <c r="A10" s="86" t="s">
        <v>77</v>
      </c>
      <c r="B10" s="89">
        <v>0</v>
      </c>
      <c r="E10" s="184"/>
    </row>
    <row r="11" spans="1:18" ht="18" thickBot="1" x14ac:dyDescent="0.55000000000000004">
      <c r="A11" s="86" t="s">
        <v>78</v>
      </c>
      <c r="B11" s="89">
        <f>Militar!O12</f>
        <v>95</v>
      </c>
      <c r="J11" s="93"/>
      <c r="K11" s="217"/>
    </row>
    <row r="12" spans="1:18" ht="19.5" customHeight="1" thickBot="1" x14ac:dyDescent="0.55000000000000004">
      <c r="A12" s="93"/>
      <c r="B12" s="94"/>
      <c r="C12" s="93"/>
      <c r="D12" s="217"/>
      <c r="G12" s="213"/>
      <c r="H12" s="213"/>
      <c r="I12" s="95"/>
      <c r="J12" s="86" t="s">
        <v>84</v>
      </c>
      <c r="K12" s="217"/>
    </row>
    <row r="13" spans="1:18" ht="18" thickBot="1" x14ac:dyDescent="0.55000000000000004">
      <c r="A13" s="93"/>
      <c r="B13" s="94"/>
      <c r="C13" s="93"/>
      <c r="D13" s="217"/>
      <c r="G13" s="216" t="s">
        <v>83</v>
      </c>
      <c r="H13" s="216"/>
      <c r="I13" s="86" t="s">
        <v>11</v>
      </c>
      <c r="J13" s="96">
        <v>0.15</v>
      </c>
      <c r="K13" s="95"/>
    </row>
    <row r="14" spans="1:18" ht="18" thickBot="1" x14ac:dyDescent="0.55000000000000004">
      <c r="A14" s="93"/>
      <c r="B14" s="94"/>
      <c r="C14" s="97"/>
      <c r="D14" s="95"/>
      <c r="H14" s="93"/>
      <c r="I14" s="95"/>
    </row>
    <row r="15" spans="1:18" ht="18" thickBot="1" x14ac:dyDescent="0.55000000000000004">
      <c r="A15" s="86" t="s">
        <v>103</v>
      </c>
      <c r="B15" s="89">
        <f>B8+B9+B10-B11</f>
        <v>360.93</v>
      </c>
    </row>
    <row r="17" spans="1:17" x14ac:dyDescent="0.5">
      <c r="A17" s="84" t="s">
        <v>9</v>
      </c>
      <c r="B17" s="84" t="s">
        <v>9</v>
      </c>
    </row>
    <row r="18" spans="1:17" x14ac:dyDescent="0.5">
      <c r="A18" s="192" t="s">
        <v>233</v>
      </c>
      <c r="B18" s="192"/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  <c r="P18" s="192"/>
    </row>
    <row r="19" spans="1:17" ht="18" thickBot="1" x14ac:dyDescent="0.55000000000000004"/>
    <row r="20" spans="1:17" ht="18.399999999999999" thickTop="1" thickBot="1" x14ac:dyDescent="0.55000000000000004">
      <c r="A20" s="84" t="s">
        <v>9</v>
      </c>
      <c r="B20" s="86" t="s">
        <v>138</v>
      </c>
      <c r="C20" s="86" t="s">
        <v>95</v>
      </c>
      <c r="D20" s="86" t="s">
        <v>102</v>
      </c>
      <c r="E20" s="86" t="s">
        <v>96</v>
      </c>
      <c r="F20" s="86" t="s">
        <v>98</v>
      </c>
      <c r="G20" s="86" t="s">
        <v>99</v>
      </c>
      <c r="I20" s="218" t="s">
        <v>89</v>
      </c>
      <c r="J20" s="218"/>
      <c r="K20" s="218"/>
      <c r="L20" s="218"/>
      <c r="M20" s="218"/>
      <c r="N20" s="218"/>
    </row>
    <row r="21" spans="1:17" ht="18.399999999999999" thickTop="1" thickBot="1" x14ac:dyDescent="0.55000000000000004">
      <c r="A21" s="86" t="s">
        <v>85</v>
      </c>
      <c r="B21" s="86">
        <v>13</v>
      </c>
      <c r="C21" s="86">
        <v>16</v>
      </c>
      <c r="D21" s="86">
        <v>6</v>
      </c>
      <c r="E21" s="86">
        <v>0</v>
      </c>
      <c r="F21" s="86">
        <v>3</v>
      </c>
      <c r="G21" s="86">
        <v>3</v>
      </c>
      <c r="I21" s="98"/>
      <c r="J21" s="98"/>
      <c r="K21" s="218" t="s">
        <v>92</v>
      </c>
      <c r="L21" s="218"/>
      <c r="M21" s="218" t="s">
        <v>93</v>
      </c>
      <c r="N21" s="218"/>
    </row>
    <row r="22" spans="1:17" ht="18.399999999999999" thickTop="1" thickBot="1" x14ac:dyDescent="0.55000000000000004">
      <c r="A22" s="86" t="s">
        <v>86</v>
      </c>
      <c r="B22" s="86">
        <v>4</v>
      </c>
      <c r="C22" s="86">
        <v>0</v>
      </c>
      <c r="D22" s="86">
        <v>0</v>
      </c>
      <c r="E22" s="86">
        <v>5</v>
      </c>
      <c r="F22" s="86">
        <v>0</v>
      </c>
      <c r="G22" s="86">
        <v>0</v>
      </c>
      <c r="I22" s="98"/>
      <c r="J22" s="98" t="s">
        <v>59</v>
      </c>
      <c r="K22" s="98" t="s">
        <v>90</v>
      </c>
      <c r="L22" s="98" t="s">
        <v>91</v>
      </c>
      <c r="M22" s="98" t="s">
        <v>90</v>
      </c>
      <c r="N22" s="98" t="s">
        <v>91</v>
      </c>
    </row>
    <row r="23" spans="1:17" ht="18.399999999999999" thickTop="1" thickBot="1" x14ac:dyDescent="0.55000000000000004">
      <c r="A23" s="86" t="s">
        <v>87</v>
      </c>
      <c r="B23" s="86">
        <f>SUM(B21:B22)</f>
        <v>17</v>
      </c>
      <c r="C23" s="86">
        <f t="shared" ref="C23:G23" si="0">SUM(C21:C22)</f>
        <v>16</v>
      </c>
      <c r="D23" s="86">
        <f t="shared" si="0"/>
        <v>6</v>
      </c>
      <c r="E23" s="86">
        <f t="shared" si="0"/>
        <v>5</v>
      </c>
      <c r="F23" s="86">
        <f t="shared" si="0"/>
        <v>3</v>
      </c>
      <c r="G23" s="86">
        <f t="shared" si="0"/>
        <v>3</v>
      </c>
      <c r="I23" s="98" t="s">
        <v>94</v>
      </c>
      <c r="J23" s="99">
        <v>26</v>
      </c>
      <c r="K23" s="99">
        <f>J23+(J23*0.3)</f>
        <v>33.799999999999997</v>
      </c>
      <c r="L23" s="99">
        <f>J23-(J23*0.3)</f>
        <v>18.2</v>
      </c>
      <c r="M23" s="99">
        <f>J23-(J23*0.2)</f>
        <v>20.8</v>
      </c>
      <c r="N23" s="99">
        <f>J23+(J23*0.2)</f>
        <v>31.2</v>
      </c>
    </row>
    <row r="24" spans="1:17" ht="18.399999999999999" thickTop="1" thickBot="1" x14ac:dyDescent="0.55000000000000004">
      <c r="A24" s="86" t="s">
        <v>88</v>
      </c>
      <c r="B24" s="100">
        <f>B4/(VLOOKUP(B6,Econ_chart,2,FALSE))</f>
        <v>7.6079999999999997</v>
      </c>
      <c r="C24" s="100">
        <f>ROUNDUP(B4/(VLOOKUP(B6,Econ_chart,3,FALSE)),0)</f>
        <v>17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95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8</v>
      </c>
      <c r="B25" s="102">
        <f>-B24</f>
        <v>-7.6079999999999997</v>
      </c>
      <c r="C25" s="102">
        <f>C21-C24</f>
        <v>-1</v>
      </c>
      <c r="D25" s="103">
        <f>D23</f>
        <v>6</v>
      </c>
      <c r="E25" s="102">
        <f>E23-E24</f>
        <v>-3</v>
      </c>
      <c r="F25" s="103">
        <f>F23</f>
        <v>3</v>
      </c>
      <c r="G25" s="103">
        <f>G23</f>
        <v>3</v>
      </c>
      <c r="I25" s="98" t="s">
        <v>96</v>
      </c>
      <c r="J25" s="99">
        <v>11</v>
      </c>
      <c r="K25" s="99">
        <f t="shared" si="1"/>
        <v>14.3</v>
      </c>
      <c r="L25" s="99">
        <f t="shared" si="2"/>
        <v>7.7</v>
      </c>
      <c r="M25" s="99">
        <f t="shared" si="3"/>
        <v>8.8000000000000007</v>
      </c>
      <c r="N25" s="99">
        <f t="shared" si="4"/>
        <v>13.2</v>
      </c>
    </row>
    <row r="26" spans="1:17" ht="18.399999999999999" thickTop="1" thickBot="1" x14ac:dyDescent="0.55000000000000004">
      <c r="A26" s="106" t="s">
        <v>305</v>
      </c>
      <c r="B26" s="104"/>
      <c r="C26" s="105"/>
      <c r="D26" s="105"/>
      <c r="E26" s="105"/>
      <c r="F26" s="105"/>
      <c r="G26" s="105"/>
      <c r="I26" s="98" t="s">
        <v>97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300</v>
      </c>
      <c r="B27" s="106"/>
      <c r="C27" s="93"/>
      <c r="D27" s="93"/>
      <c r="E27" s="93"/>
      <c r="F27" s="93"/>
      <c r="G27" s="93"/>
      <c r="I27" s="98" t="s">
        <v>98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/>
      <c r="B28" s="105"/>
      <c r="C28" s="105"/>
      <c r="D28" s="105"/>
      <c r="E28" s="105"/>
      <c r="F28" s="105"/>
      <c r="G28" s="105"/>
      <c r="I28" s="98" t="s">
        <v>99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100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219" t="s">
        <v>101</v>
      </c>
      <c r="P29" s="219"/>
      <c r="Q29" s="219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104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105</v>
      </c>
      <c r="B32" s="86">
        <f>SUM(Colonias!D7)</f>
        <v>0</v>
      </c>
      <c r="C32" s="86">
        <f>SUM(Colonias!E7)</f>
        <v>0</v>
      </c>
      <c r="D32" s="86">
        <f>SUM(Colonias!F7)</f>
        <v>4</v>
      </c>
      <c r="E32" s="86">
        <f>SUM(Colonias!G7)</f>
        <v>3</v>
      </c>
      <c r="F32" s="179">
        <f>SUM(Colonias!H7)</f>
        <v>2</v>
      </c>
      <c r="G32" s="86">
        <f>SUM(Colonias!I7)</f>
        <v>1</v>
      </c>
    </row>
    <row r="33" spans="1:16" ht="18" thickBot="1" x14ac:dyDescent="0.55000000000000004">
      <c r="A33" s="86" t="s">
        <v>106</v>
      </c>
      <c r="B33" s="86">
        <f>Colonias!K7</f>
        <v>9</v>
      </c>
      <c r="C33" s="86">
        <f>Colonias!L7</f>
        <v>0</v>
      </c>
      <c r="D33" s="86">
        <f>Colonias!M7</f>
        <v>0</v>
      </c>
      <c r="E33" s="86">
        <f>Colonias!N7</f>
        <v>1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107</v>
      </c>
      <c r="B34" s="107">
        <f>B32-J51</f>
        <v>0</v>
      </c>
      <c r="C34" s="107">
        <f t="shared" ref="C34:G34" si="5">C32-K51</f>
        <v>0</v>
      </c>
      <c r="D34" s="107">
        <f t="shared" si="5"/>
        <v>4</v>
      </c>
      <c r="E34" s="107">
        <f t="shared" si="5"/>
        <v>3</v>
      </c>
      <c r="F34" s="107">
        <f t="shared" si="5"/>
        <v>2</v>
      </c>
      <c r="G34" s="107">
        <f t="shared" si="5"/>
        <v>1</v>
      </c>
      <c r="H34" s="92" t="s">
        <v>223</v>
      </c>
    </row>
    <row r="35" spans="1:16" ht="18" thickBot="1" x14ac:dyDescent="0.55000000000000004">
      <c r="A35" s="86" t="s">
        <v>108</v>
      </c>
      <c r="B35" s="107">
        <f>B33-B51</f>
        <v>9</v>
      </c>
      <c r="C35" s="107">
        <f t="shared" ref="C35:G35" si="6">C33-C51</f>
        <v>0</v>
      </c>
      <c r="D35" s="107">
        <f t="shared" si="6"/>
        <v>0</v>
      </c>
      <c r="E35" s="107">
        <f t="shared" si="6"/>
        <v>1</v>
      </c>
      <c r="F35" s="107">
        <f t="shared" si="6"/>
        <v>0</v>
      </c>
      <c r="G35" s="107">
        <f t="shared" si="6"/>
        <v>0</v>
      </c>
      <c r="H35" s="92" t="s">
        <v>109</v>
      </c>
    </row>
    <row r="36" spans="1:16" x14ac:dyDescent="0.5">
      <c r="I36" s="108"/>
    </row>
    <row r="37" spans="1:16" x14ac:dyDescent="0.5">
      <c r="A37" s="192" t="s">
        <v>232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</row>
    <row r="38" spans="1:16" ht="18" thickBot="1" x14ac:dyDescent="0.55000000000000004"/>
    <row r="39" spans="1:16" ht="18" thickBot="1" x14ac:dyDescent="0.55000000000000004">
      <c r="B39" s="199" t="s">
        <v>112</v>
      </c>
      <c r="C39" s="200"/>
      <c r="D39" s="201"/>
      <c r="J39" s="199" t="s">
        <v>113</v>
      </c>
      <c r="K39" s="200"/>
      <c r="L39" s="200"/>
      <c r="M39" s="201"/>
    </row>
    <row r="40" spans="1:16" x14ac:dyDescent="0.5">
      <c r="A40" s="109" t="s">
        <v>64</v>
      </c>
      <c r="B40" s="110" t="s">
        <v>94</v>
      </c>
      <c r="C40" s="110" t="s">
        <v>95</v>
      </c>
      <c r="D40" s="110" t="s">
        <v>102</v>
      </c>
      <c r="E40" s="109" t="s">
        <v>96</v>
      </c>
      <c r="F40" s="109" t="s">
        <v>98</v>
      </c>
      <c r="G40" s="109" t="s">
        <v>99</v>
      </c>
      <c r="H40" s="109" t="s">
        <v>137</v>
      </c>
      <c r="J40" s="110" t="s">
        <v>94</v>
      </c>
      <c r="K40" s="110" t="s">
        <v>95</v>
      </c>
      <c r="L40" s="110" t="s">
        <v>102</v>
      </c>
      <c r="M40" s="110" t="s">
        <v>96</v>
      </c>
      <c r="N40" s="109" t="s">
        <v>98</v>
      </c>
      <c r="O40" s="109" t="s">
        <v>99</v>
      </c>
      <c r="P40" s="109" t="s">
        <v>137</v>
      </c>
    </row>
    <row r="41" spans="1:16" x14ac:dyDescent="0.5">
      <c r="A41" s="146" t="s">
        <v>296</v>
      </c>
      <c r="B41" s="147"/>
      <c r="C41" s="147"/>
      <c r="D41" s="147"/>
      <c r="E41" s="147"/>
      <c r="F41" s="147"/>
      <c r="G41" s="147"/>
      <c r="H41" s="147">
        <v>20</v>
      </c>
      <c r="J41" s="147"/>
      <c r="K41" s="147">
        <v>2</v>
      </c>
      <c r="L41" s="147"/>
      <c r="M41" s="147"/>
      <c r="N41" s="147"/>
      <c r="O41" s="147"/>
      <c r="P41" s="147"/>
    </row>
    <row r="42" spans="1:16" x14ac:dyDescent="0.5">
      <c r="A42" s="146" t="s">
        <v>295</v>
      </c>
      <c r="B42" s="147"/>
      <c r="C42" s="147"/>
      <c r="D42" s="147">
        <v>2</v>
      </c>
      <c r="E42" s="147"/>
      <c r="F42" s="147"/>
      <c r="G42" s="147"/>
      <c r="H42" s="147">
        <v>36</v>
      </c>
      <c r="J42" s="147">
        <v>1</v>
      </c>
      <c r="K42" s="147"/>
      <c r="L42" s="147"/>
      <c r="M42" s="147">
        <v>1</v>
      </c>
      <c r="N42" s="147"/>
      <c r="O42" s="147"/>
      <c r="P42" s="147">
        <v>20</v>
      </c>
    </row>
    <row r="43" spans="1:16" x14ac:dyDescent="0.5">
      <c r="A43" s="146" t="s">
        <v>297</v>
      </c>
      <c r="B43" s="147"/>
      <c r="C43" s="147"/>
      <c r="D43" s="147"/>
      <c r="E43" s="147"/>
      <c r="F43" s="147"/>
      <c r="G43" s="147"/>
      <c r="H43" s="148">
        <v>10</v>
      </c>
      <c r="J43" s="147"/>
      <c r="K43" s="147"/>
      <c r="L43" s="147"/>
      <c r="M43" s="147"/>
      <c r="N43" s="147"/>
      <c r="O43" s="147">
        <v>1</v>
      </c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110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92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5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2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-66</v>
      </c>
      <c r="I53" s="86" t="s">
        <v>5</v>
      </c>
      <c r="J53" s="107">
        <f t="shared" ref="J53:O53" si="8">SUM(J41:J52)</f>
        <v>1</v>
      </c>
      <c r="K53" s="107">
        <f t="shared" si="8"/>
        <v>2</v>
      </c>
      <c r="L53" s="107">
        <f t="shared" si="8"/>
        <v>0</v>
      </c>
      <c r="M53" s="107">
        <f t="shared" si="8"/>
        <v>1</v>
      </c>
      <c r="N53" s="107">
        <f t="shared" si="8"/>
        <v>0</v>
      </c>
      <c r="O53" s="107">
        <f t="shared" si="8"/>
        <v>1</v>
      </c>
      <c r="P53" s="112">
        <f xml:space="preserve"> SUM(P41:P51)-P52</f>
        <v>20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Colonias!D53</f>
        <v>0</v>
      </c>
      <c r="C55" s="86">
        <f>Colonias!E53</f>
        <v>0</v>
      </c>
      <c r="D55" s="86">
        <f>Colonias!F53</f>
        <v>0</v>
      </c>
      <c r="E55" s="86">
        <f>Colonias!G53</f>
        <v>0</v>
      </c>
      <c r="F55" s="86">
        <f>Colonias!H53</f>
        <v>0</v>
      </c>
      <c r="G55" s="86">
        <f>Colonias!I53</f>
        <v>0</v>
      </c>
      <c r="H55" s="86" t="s">
        <v>111</v>
      </c>
    </row>
    <row r="56" spans="1:17" ht="18" thickBot="1" x14ac:dyDescent="0.55000000000000004">
      <c r="A56" s="84" t="s">
        <v>114</v>
      </c>
      <c r="B56" s="100">
        <f t="shared" ref="B56:G56" si="9">B25-B53+J53</f>
        <v>-6.6079999999999997</v>
      </c>
      <c r="C56" s="100">
        <f t="shared" si="9"/>
        <v>1</v>
      </c>
      <c r="D56" s="100">
        <f t="shared" si="9"/>
        <v>4</v>
      </c>
      <c r="E56" s="100">
        <f t="shared" si="9"/>
        <v>-2</v>
      </c>
      <c r="F56" s="100">
        <f t="shared" si="9"/>
        <v>3</v>
      </c>
      <c r="G56" s="100">
        <f t="shared" si="9"/>
        <v>4</v>
      </c>
      <c r="H56" s="115">
        <f>B15+H53+P53</f>
        <v>314.93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9</v>
      </c>
    </row>
    <row r="59" spans="1:17" ht="18" thickBot="1" x14ac:dyDescent="0.55000000000000004">
      <c r="A59" s="84" t="s">
        <v>115</v>
      </c>
      <c r="B59" s="84" t="s">
        <v>136</v>
      </c>
      <c r="C59" s="84" t="s">
        <v>95</v>
      </c>
      <c r="D59" s="84" t="s">
        <v>102</v>
      </c>
      <c r="E59" s="84" t="s">
        <v>96</v>
      </c>
      <c r="F59" s="84" t="s">
        <v>98</v>
      </c>
      <c r="G59" s="84" t="s">
        <v>99</v>
      </c>
      <c r="H59" s="84" t="s">
        <v>137</v>
      </c>
      <c r="I59" s="84" t="s">
        <v>138</v>
      </c>
    </row>
    <row r="60" spans="1:17" ht="18" thickBot="1" x14ac:dyDescent="0.55000000000000004">
      <c r="A60" s="84" t="s">
        <v>116</v>
      </c>
      <c r="B60" s="147"/>
      <c r="C60" s="116" t="s">
        <v>9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117</v>
      </c>
      <c r="B61" s="147"/>
      <c r="C61" s="116" t="s">
        <v>9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118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119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63</v>
      </c>
      <c r="B64" s="100">
        <f>B56+B60+(B61*2)</f>
        <v>-6.6079999999999997</v>
      </c>
      <c r="C64" s="100">
        <f>C56</f>
        <v>1</v>
      </c>
      <c r="D64" s="100">
        <f>D56-D60</f>
        <v>4</v>
      </c>
      <c r="E64" s="100">
        <f>E63+E56</f>
        <v>-2</v>
      </c>
      <c r="F64" s="100">
        <f>F56-F61-F62</f>
        <v>3</v>
      </c>
      <c r="G64" s="100">
        <f>G56-G61-G62</f>
        <v>4</v>
      </c>
      <c r="H64" s="115">
        <f>H56-H63</f>
        <v>314.93</v>
      </c>
      <c r="I64" s="86">
        <f>B23-I60-I61-I62-I63</f>
        <v>17</v>
      </c>
    </row>
    <row r="66" spans="1:16" x14ac:dyDescent="0.5">
      <c r="A66" s="192" t="s">
        <v>140</v>
      </c>
      <c r="B66" s="192"/>
      <c r="C66" s="192"/>
      <c r="D66" s="192"/>
      <c r="E66" s="192"/>
      <c r="F66" s="192"/>
      <c r="G66" s="192"/>
      <c r="H66" s="192"/>
      <c r="I66" s="192"/>
      <c r="J66" s="192"/>
      <c r="K66" s="192"/>
      <c r="L66" s="192"/>
      <c r="M66" s="192"/>
      <c r="N66" s="192"/>
      <c r="O66" s="192"/>
      <c r="P66" s="192"/>
    </row>
    <row r="68" spans="1:16" ht="18" thickBot="1" x14ac:dyDescent="0.55000000000000004">
      <c r="A68" s="117" t="s">
        <v>238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14" t="s">
        <v>130</v>
      </c>
      <c r="B69" s="214" t="s">
        <v>120</v>
      </c>
      <c r="C69" s="214" t="s">
        <v>245</v>
      </c>
      <c r="D69" s="214" t="s">
        <v>129</v>
      </c>
      <c r="E69" s="204" t="s">
        <v>122</v>
      </c>
      <c r="F69" s="204" t="s">
        <v>121</v>
      </c>
      <c r="G69" s="202" t="s">
        <v>120</v>
      </c>
      <c r="H69" s="202" t="s">
        <v>124</v>
      </c>
    </row>
    <row r="70" spans="1:16" ht="18" thickBot="1" x14ac:dyDescent="0.55000000000000004">
      <c r="A70" s="215"/>
      <c r="B70" s="215"/>
      <c r="C70" s="215"/>
      <c r="D70" s="215"/>
      <c r="E70" s="205"/>
      <c r="F70" s="205"/>
      <c r="G70" s="203"/>
      <c r="H70" s="203"/>
    </row>
    <row r="71" spans="1:16" ht="18" thickBot="1" x14ac:dyDescent="0.55000000000000004">
      <c r="A71" s="86" t="s">
        <v>138</v>
      </c>
      <c r="B71" s="89">
        <v>90</v>
      </c>
      <c r="C71" s="96">
        <v>0</v>
      </c>
      <c r="D71" s="149" t="s">
        <v>13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13</v>
      </c>
      <c r="I71" s="119"/>
      <c r="J71" s="187"/>
    </row>
    <row r="72" spans="1:16" ht="18" thickBot="1" x14ac:dyDescent="0.55000000000000004">
      <c r="A72" s="150" t="s">
        <v>95</v>
      </c>
      <c r="B72" s="89">
        <v>55</v>
      </c>
      <c r="C72" s="96">
        <v>0.33</v>
      </c>
      <c r="D72" s="149" t="s">
        <v>13</v>
      </c>
      <c r="E72" s="96">
        <f t="shared" ref="E72:E80" si="10">IF(H72="Si",0.4,0.33)</f>
        <v>0.33</v>
      </c>
      <c r="F72" s="96" t="str">
        <f t="shared" ref="F72:F80" si="11">IF(D72="Si",(IF((C72+E72)&gt;1,1,(C72+E72)))," ")</f>
        <v xml:space="preserve"> </v>
      </c>
      <c r="G72" s="89" t="str">
        <f t="shared" ref="G72:G80" si="12">IF(D72="Continue",5,(IF(D72="Si",(IF((C72+E72)&gt;1,5,B72))," ")))</f>
        <v xml:space="preserve"> </v>
      </c>
      <c r="H72" s="175" t="s">
        <v>13</v>
      </c>
      <c r="I72" s="119"/>
    </row>
    <row r="73" spans="1:16" s="151" customFormat="1" ht="18" thickBot="1" x14ac:dyDescent="0.55000000000000004">
      <c r="A73" s="150" t="s">
        <v>98</v>
      </c>
      <c r="B73" s="89">
        <v>60</v>
      </c>
      <c r="C73" s="96">
        <v>0</v>
      </c>
      <c r="D73" s="149" t="s">
        <v>13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5" t="s">
        <v>13</v>
      </c>
      <c r="I73" s="119"/>
      <c r="L73" s="183"/>
    </row>
    <row r="74" spans="1:16" s="151" customFormat="1" ht="18" thickBot="1" x14ac:dyDescent="0.55000000000000004">
      <c r="A74" s="150" t="s">
        <v>99</v>
      </c>
      <c r="B74" s="89">
        <v>80</v>
      </c>
      <c r="C74" s="96">
        <v>0</v>
      </c>
      <c r="D74" s="149" t="s">
        <v>13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5" t="s">
        <v>13</v>
      </c>
      <c r="I74" s="119"/>
    </row>
    <row r="75" spans="1:16" s="151" customFormat="1" ht="18" thickBot="1" x14ac:dyDescent="0.55000000000000004">
      <c r="A75" s="150" t="s">
        <v>248</v>
      </c>
      <c r="B75" s="89">
        <v>65</v>
      </c>
      <c r="C75" s="96">
        <v>0</v>
      </c>
      <c r="D75" s="149" t="s">
        <v>13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5" t="s">
        <v>13</v>
      </c>
      <c r="I75" s="119"/>
      <c r="J75" s="187"/>
    </row>
    <row r="76" spans="1:16" ht="18" thickBot="1" x14ac:dyDescent="0.55000000000000004">
      <c r="A76" s="146"/>
      <c r="B76" s="89" t="str">
        <f>IF(A76="","",VLOOKUP(A76,Colonias!$B$36:$E$54,4,FALSE))</f>
        <v/>
      </c>
      <c r="C76" s="96">
        <f>IF(A76="",0,VLOOKUP(A76,Colonias!$B$36:$F$54,5,FALSE))</f>
        <v>0</v>
      </c>
      <c r="D76" s="149" t="s">
        <v>13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86" t="str">
        <f>IF(A76="","No",VLOOKUP(A76,Colonias!$B$36:$G$54,6,FALSE))</f>
        <v>No</v>
      </c>
      <c r="I76" s="87"/>
      <c r="J76" s="187"/>
    </row>
    <row r="77" spans="1:16" ht="18" thickBot="1" x14ac:dyDescent="0.55000000000000004">
      <c r="A77" s="146"/>
      <c r="B77" s="89" t="str">
        <f>IF(A77="","",VLOOKUP(A77,Colonias!$B$36:$E$54,4,FALSE))</f>
        <v/>
      </c>
      <c r="C77" s="96">
        <f>IF(A77="",0,VLOOKUP(A77,Colonias!$B$36:$F$54,5,FALSE))</f>
        <v>0</v>
      </c>
      <c r="D77" s="149" t="s">
        <v>13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80" t="str">
        <f>IF(A77="","No",VLOOKUP(A77,Colonias!$B$36:$G$54,6,FALSE))</f>
        <v>No</v>
      </c>
      <c r="I77" s="87"/>
      <c r="J77" s="187"/>
    </row>
    <row r="78" spans="1:16" ht="18" thickBot="1" x14ac:dyDescent="0.55000000000000004">
      <c r="A78" s="146"/>
      <c r="B78" s="89" t="str">
        <f>IF(A78="","",VLOOKUP(A78,Colonias!$B$36:$E$54,4,FALSE))</f>
        <v/>
      </c>
      <c r="C78" s="96">
        <f>IF(A78="",0,VLOOKUP(A78,Colonias!$B$36:$F$54,5,FALSE))</f>
        <v>0</v>
      </c>
      <c r="D78" s="149" t="s">
        <v>13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80" t="str">
        <f>IF(A78="","No",VLOOKUP(A78,Colonias!$B$36:$G$54,6,FALSE))</f>
        <v>No</v>
      </c>
      <c r="I78" s="87"/>
    </row>
    <row r="79" spans="1:16" ht="18" thickBot="1" x14ac:dyDescent="0.55000000000000004">
      <c r="A79" s="146"/>
      <c r="B79" s="89" t="str">
        <f>IF(A79="","",VLOOKUP(A79,Colonias!$B$36:$E$54,4,FALSE))</f>
        <v/>
      </c>
      <c r="C79" s="96">
        <f>IF(A79="",0,VLOOKUP(A79,Colonias!$B$36:$F$54,5,FALSE))</f>
        <v>0</v>
      </c>
      <c r="D79" s="149" t="s">
        <v>13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80" t="str">
        <f>IF(A79="","No",VLOOKUP(A79,Colonias!$B$36:$G$54,6,FALSE))</f>
        <v>No</v>
      </c>
      <c r="I79" s="87"/>
    </row>
    <row r="80" spans="1:16" ht="18" thickBot="1" x14ac:dyDescent="0.55000000000000004">
      <c r="A80" s="146"/>
      <c r="B80" s="89" t="str">
        <f>IF(A80="","",VLOOKUP(A80,Colonias!$B$36:$E$54,4,FALSE))</f>
        <v/>
      </c>
      <c r="C80" s="96">
        <f>IF(A80="",0,VLOOKUP(A80,Colonias!$B$36:$F$54,5,FALSE))</f>
        <v>0</v>
      </c>
      <c r="D80" s="149" t="s">
        <v>13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80" t="str">
        <f>IF(A80="","No",VLOOKUP(A80,Colonias!$B$36:$G$54,6,FALSE))</f>
        <v>No</v>
      </c>
      <c r="I80" s="87"/>
    </row>
    <row r="81" spans="1:8" ht="18" thickBot="1" x14ac:dyDescent="0.55000000000000004">
      <c r="B81" s="91"/>
      <c r="F81" s="120" t="s">
        <v>5</v>
      </c>
      <c r="G81" s="121">
        <f>SUM(G71:G80)</f>
        <v>0</v>
      </c>
    </row>
    <row r="82" spans="1:8" ht="18" thickBot="1" x14ac:dyDescent="0.55000000000000004">
      <c r="A82" s="122" t="s">
        <v>239</v>
      </c>
      <c r="B82" s="91"/>
      <c r="F82" s="93"/>
      <c r="G82" s="94"/>
    </row>
    <row r="83" spans="1:8" ht="18" thickBot="1" x14ac:dyDescent="0.55000000000000004">
      <c r="A83" s="86" t="s">
        <v>125</v>
      </c>
      <c r="B83" s="86" t="s">
        <v>120</v>
      </c>
      <c r="C83" s="86" t="s">
        <v>126</v>
      </c>
      <c r="D83" s="86" t="s">
        <v>129</v>
      </c>
      <c r="E83" s="86" t="s">
        <v>127</v>
      </c>
      <c r="F83" s="86" t="s">
        <v>120</v>
      </c>
      <c r="G83" s="94"/>
    </row>
    <row r="84" spans="1:8" ht="18" thickBot="1" x14ac:dyDescent="0.55000000000000004">
      <c r="A84" s="146"/>
      <c r="B84" s="89" t="str">
        <f>IF(A84="","",VLOOKUP(A84,Ferrocarriles!$G$5:$I$10,2,FALSE))</f>
        <v/>
      </c>
      <c r="C84" s="86" t="str">
        <f>IF(A84="","",VLOOKUP(A84,Ferrocarriles!$G$5:$I$10,3,FALSE))</f>
        <v/>
      </c>
      <c r="D84" s="157" t="s">
        <v>13</v>
      </c>
      <c r="E84" s="86">
        <f>IF(D84="Si",1,0)</f>
        <v>0</v>
      </c>
      <c r="F84" s="89">
        <f>IF(D84="Si",B84,0)</f>
        <v>0</v>
      </c>
      <c r="G84" s="123"/>
      <c r="H84" s="124"/>
    </row>
    <row r="85" spans="1:8" ht="18" thickBot="1" x14ac:dyDescent="0.55000000000000004">
      <c r="A85" s="146"/>
      <c r="B85" s="89" t="str">
        <f>IF(A85="","",VLOOKUP(A85,Ferrocarriles!$G$5:$I$10,2,FALSE))</f>
        <v/>
      </c>
      <c r="C85" s="150" t="str">
        <f>IF(A85="","",VLOOKUP(A85,Ferrocarriles!$G$5:$I$10,3,FALSE))</f>
        <v/>
      </c>
      <c r="D85" s="157" t="s">
        <v>13</v>
      </c>
      <c r="E85" s="86">
        <f t="shared" ref="E85:E87" si="13">IF(D85="Si",1,0)</f>
        <v>0</v>
      </c>
      <c r="F85" s="89">
        <f t="shared" ref="F85:F87" si="14">IF(D85="Si",B85,0)</f>
        <v>0</v>
      </c>
      <c r="G85" s="123"/>
      <c r="H85" s="124"/>
    </row>
    <row r="86" spans="1:8" ht="18" thickBot="1" x14ac:dyDescent="0.55000000000000004">
      <c r="A86" s="146"/>
      <c r="B86" s="89" t="str">
        <f>IF(A86="","",VLOOKUP(A86,Ferrocarriles!$G$5:$I$10,2,FALSE))</f>
        <v/>
      </c>
      <c r="C86" s="150" t="str">
        <f>IF(A86="","",VLOOKUP(A86,Ferrocarriles!$G$5:$I$10,3,FALSE))</f>
        <v/>
      </c>
      <c r="D86" s="157" t="s">
        <v>13</v>
      </c>
      <c r="E86" s="86">
        <f t="shared" si="13"/>
        <v>0</v>
      </c>
      <c r="F86" s="89">
        <f t="shared" si="14"/>
        <v>0</v>
      </c>
      <c r="G86" s="123"/>
      <c r="H86" s="124"/>
    </row>
    <row r="87" spans="1:8" ht="18" thickBot="1" x14ac:dyDescent="0.55000000000000004">
      <c r="A87" s="146"/>
      <c r="B87" s="89" t="str">
        <f>IF(A87="","",VLOOKUP(A87,Ferrocarriles!$G$5:$I$10,2,FALSE))</f>
        <v/>
      </c>
      <c r="C87" s="150" t="str">
        <f>IF(A87="","",VLOOKUP(A87,Ferrocarriles!$G$5:$I$10,3,FALSE))</f>
        <v/>
      </c>
      <c r="D87" s="157" t="s">
        <v>13</v>
      </c>
      <c r="E87" s="86">
        <f t="shared" si="13"/>
        <v>0</v>
      </c>
      <c r="F87" s="89">
        <f t="shared" si="14"/>
        <v>0</v>
      </c>
      <c r="G87" s="123"/>
      <c r="H87" s="124"/>
    </row>
    <row r="88" spans="1:8" ht="18" thickBot="1" x14ac:dyDescent="0.55000000000000004">
      <c r="B88" s="91"/>
      <c r="D88" s="86" t="s">
        <v>44</v>
      </c>
      <c r="E88" s="86">
        <f>SUM(E84:E87)</f>
        <v>0</v>
      </c>
      <c r="F88" s="89">
        <f>SUM(F84:F87)</f>
        <v>0</v>
      </c>
      <c r="G88" s="94"/>
    </row>
    <row r="89" spans="1:8" x14ac:dyDescent="0.5">
      <c r="B89" s="91"/>
      <c r="D89" s="93"/>
      <c r="E89" s="125" t="str">
        <f>IF(E88&gt;B62,"Need to build more HI points to complete this investment(s)"," ")</f>
        <v xml:space="preserve"> </v>
      </c>
      <c r="F89" s="93"/>
      <c r="G89" s="94"/>
    </row>
    <row r="90" spans="1:8" x14ac:dyDescent="0.5">
      <c r="B90" s="91"/>
      <c r="F90" s="93"/>
      <c r="G90" s="94"/>
    </row>
    <row r="91" spans="1:8" ht="18" thickBot="1" x14ac:dyDescent="0.55000000000000004">
      <c r="A91" s="122" t="s">
        <v>240</v>
      </c>
      <c r="B91" s="91"/>
      <c r="F91" s="91"/>
    </row>
    <row r="92" spans="1:8" ht="18" thickBot="1" x14ac:dyDescent="0.55000000000000004">
      <c r="A92" s="86" t="s">
        <v>128</v>
      </c>
      <c r="B92" s="86" t="s">
        <v>120</v>
      </c>
      <c r="F92" s="89" t="s">
        <v>120</v>
      </c>
      <c r="G92" s="86" t="s">
        <v>125</v>
      </c>
    </row>
    <row r="93" spans="1:8" ht="18" thickBot="1" x14ac:dyDescent="0.55000000000000004">
      <c r="A93" s="158"/>
      <c r="B93" s="159"/>
      <c r="C93" s="87"/>
      <c r="D93" s="119"/>
      <c r="F93" s="89">
        <f>B93</f>
        <v>0</v>
      </c>
      <c r="G93" s="157" t="s">
        <v>13</v>
      </c>
    </row>
    <row r="94" spans="1:8" ht="18" thickBot="1" x14ac:dyDescent="0.55000000000000004">
      <c r="A94" s="158"/>
      <c r="B94" s="159"/>
      <c r="C94" s="87"/>
      <c r="D94" s="113"/>
      <c r="F94" s="89">
        <f>B94</f>
        <v>0</v>
      </c>
      <c r="G94" s="157" t="s">
        <v>13</v>
      </c>
    </row>
    <row r="95" spans="1:8" ht="18" thickBot="1" x14ac:dyDescent="0.55000000000000004">
      <c r="A95" s="158"/>
      <c r="B95" s="159"/>
      <c r="C95" s="87"/>
      <c r="D95" s="124"/>
      <c r="F95" s="89">
        <f>B95</f>
        <v>0</v>
      </c>
      <c r="G95" s="157" t="s">
        <v>13</v>
      </c>
    </row>
    <row r="96" spans="1:8" ht="18" thickBot="1" x14ac:dyDescent="0.55000000000000004">
      <c r="A96" s="158"/>
      <c r="B96" s="159"/>
      <c r="C96" s="87"/>
      <c r="F96" s="89">
        <f>B96</f>
        <v>0</v>
      </c>
      <c r="G96" s="157" t="s">
        <v>13</v>
      </c>
    </row>
    <row r="97" spans="1:11" ht="18" thickBot="1" x14ac:dyDescent="0.55000000000000004">
      <c r="B97" s="91"/>
      <c r="E97" s="86" t="s">
        <v>6</v>
      </c>
      <c r="F97" s="115">
        <f>SUM(F93:F96)</f>
        <v>0</v>
      </c>
    </row>
    <row r="98" spans="1:11" x14ac:dyDescent="0.5">
      <c r="B98" s="91"/>
    </row>
    <row r="99" spans="1:11" ht="18" thickBot="1" x14ac:dyDescent="0.55000000000000004">
      <c r="A99" s="126" t="s">
        <v>237</v>
      </c>
      <c r="B99" s="91"/>
    </row>
    <row r="100" spans="1:11" ht="18" thickBot="1" x14ac:dyDescent="0.55000000000000004">
      <c r="C100" s="86" t="s">
        <v>132</v>
      </c>
      <c r="E100" s="86" t="s">
        <v>133</v>
      </c>
      <c r="F100" s="84" t="s">
        <v>9</v>
      </c>
    </row>
    <row r="101" spans="1:11" ht="18" thickBot="1" x14ac:dyDescent="0.55000000000000004">
      <c r="A101" s="86" t="s">
        <v>131</v>
      </c>
      <c r="B101" s="86" t="s">
        <v>120</v>
      </c>
      <c r="C101" s="86" t="s">
        <v>10</v>
      </c>
      <c r="D101" s="86" t="s">
        <v>129</v>
      </c>
      <c r="E101" s="86" t="s">
        <v>10</v>
      </c>
      <c r="F101" s="89" t="s">
        <v>120</v>
      </c>
    </row>
    <row r="102" spans="1:11" ht="18" thickBot="1" x14ac:dyDescent="0.55000000000000004">
      <c r="A102" s="86" t="s">
        <v>303</v>
      </c>
      <c r="B102" s="89">
        <v>30</v>
      </c>
      <c r="C102" s="96">
        <v>0</v>
      </c>
      <c r="D102" s="157" t="s">
        <v>13</v>
      </c>
      <c r="E102" s="96" t="str">
        <f>IF(D102="Si",(C102+0.2),IF(D102="Continue",(C102)," "))</f>
        <v xml:space="preserve"> </v>
      </c>
      <c r="F102" s="89" t="str">
        <f>IF(D102="Si",B102,IF(D102="Continue",5,""))</f>
        <v/>
      </c>
      <c r="G102" s="124"/>
      <c r="K102" s="187"/>
    </row>
    <row r="103" spans="1:11" ht="18" thickBot="1" x14ac:dyDescent="0.55000000000000004">
      <c r="A103" s="86" t="s">
        <v>155</v>
      </c>
      <c r="B103" s="89">
        <v>30</v>
      </c>
      <c r="C103" s="96">
        <v>0</v>
      </c>
      <c r="D103" s="157" t="s">
        <v>13</v>
      </c>
      <c r="E103" s="96" t="str">
        <f t="shared" ref="E103:E110" si="15">IF(D103="Si",(C103+0.2),IF(D103="Continue",(C103)," "))</f>
        <v xml:space="preserve"> </v>
      </c>
      <c r="F103" s="89" t="str">
        <f t="shared" ref="F103:F110" si="16">IF(D103="Si",B103,IF(D103="Continue",5,""))</f>
        <v/>
      </c>
      <c r="G103" s="124"/>
      <c r="H103" s="185"/>
    </row>
    <row r="104" spans="1:11" ht="18" thickBot="1" x14ac:dyDescent="0.55000000000000004">
      <c r="A104" s="86" t="s">
        <v>156</v>
      </c>
      <c r="B104" s="89">
        <v>30</v>
      </c>
      <c r="C104" s="96">
        <v>0.4</v>
      </c>
      <c r="D104" s="157" t="s">
        <v>13</v>
      </c>
      <c r="E104" s="96" t="str">
        <f t="shared" si="15"/>
        <v xml:space="preserve"> </v>
      </c>
      <c r="F104" s="89" t="str">
        <f t="shared" si="16"/>
        <v/>
      </c>
      <c r="G104" s="87"/>
      <c r="H104" s="187"/>
    </row>
    <row r="105" spans="1:11" ht="18" thickBot="1" x14ac:dyDescent="0.55000000000000004">
      <c r="A105" s="86" t="s">
        <v>157</v>
      </c>
      <c r="B105" s="89">
        <v>30</v>
      </c>
      <c r="C105" s="96">
        <v>0</v>
      </c>
      <c r="D105" s="157" t="s">
        <v>13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11" ht="18" thickBot="1" x14ac:dyDescent="0.55000000000000004">
      <c r="A106" s="86" t="s">
        <v>304</v>
      </c>
      <c r="B106" s="89">
        <v>30</v>
      </c>
      <c r="C106" s="96">
        <v>0</v>
      </c>
      <c r="D106" s="157" t="s">
        <v>13</v>
      </c>
      <c r="E106" s="96" t="str">
        <f t="shared" si="15"/>
        <v xml:space="preserve"> </v>
      </c>
      <c r="F106" s="89" t="str">
        <f t="shared" si="16"/>
        <v/>
      </c>
      <c r="G106" s="124"/>
      <c r="H106" s="187"/>
    </row>
    <row r="107" spans="1:11" ht="18" thickBot="1" x14ac:dyDescent="0.55000000000000004">
      <c r="A107" s="86" t="s">
        <v>158</v>
      </c>
      <c r="B107" s="89">
        <v>30</v>
      </c>
      <c r="C107" s="96">
        <v>0</v>
      </c>
      <c r="D107" s="157" t="s">
        <v>13</v>
      </c>
      <c r="E107" s="96" t="str">
        <f t="shared" si="15"/>
        <v xml:space="preserve"> </v>
      </c>
      <c r="F107" s="89" t="str">
        <f t="shared" si="16"/>
        <v/>
      </c>
      <c r="G107" s="124"/>
      <c r="J107" s="187"/>
    </row>
    <row r="108" spans="1:11" ht="18" thickBot="1" x14ac:dyDescent="0.55000000000000004">
      <c r="A108" s="86" t="s">
        <v>301</v>
      </c>
      <c r="B108" s="89">
        <v>30</v>
      </c>
      <c r="C108" s="96">
        <v>0</v>
      </c>
      <c r="D108" s="157" t="s">
        <v>13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11" ht="18" thickBot="1" x14ac:dyDescent="0.55000000000000004">
      <c r="A109" s="86" t="s">
        <v>159</v>
      </c>
      <c r="B109" s="89">
        <v>40</v>
      </c>
      <c r="C109" s="96">
        <v>0</v>
      </c>
      <c r="D109" s="157" t="s">
        <v>13</v>
      </c>
      <c r="E109" s="96" t="str">
        <f t="shared" si="15"/>
        <v xml:space="preserve"> </v>
      </c>
      <c r="F109" s="89" t="str">
        <f t="shared" si="16"/>
        <v/>
      </c>
      <c r="G109" s="87" t="str">
        <f t="shared" ref="G109" si="17">IF(D109="Continue","New roll to complete investment at current %"," ")</f>
        <v xml:space="preserve"> </v>
      </c>
    </row>
    <row r="110" spans="1:11" ht="18" thickBot="1" x14ac:dyDescent="0.55000000000000004">
      <c r="A110" s="86" t="s">
        <v>134</v>
      </c>
      <c r="B110" s="89">
        <v>40</v>
      </c>
      <c r="C110" s="96">
        <v>0</v>
      </c>
      <c r="D110" s="157" t="s">
        <v>13</v>
      </c>
      <c r="E110" s="96" t="str">
        <f t="shared" si="15"/>
        <v xml:space="preserve"> </v>
      </c>
      <c r="F110" s="89" t="str">
        <f t="shared" si="16"/>
        <v/>
      </c>
      <c r="G110" s="87"/>
    </row>
    <row r="111" spans="1:11" ht="18" thickBot="1" x14ac:dyDescent="0.55000000000000004">
      <c r="E111" s="127" t="s">
        <v>5</v>
      </c>
      <c r="F111" s="128">
        <f>SUM(F102:F109)</f>
        <v>0</v>
      </c>
      <c r="G111" s="87"/>
    </row>
    <row r="112" spans="1:11" ht="18" thickBot="1" x14ac:dyDescent="0.55000000000000004">
      <c r="D112" s="86"/>
      <c r="E112" s="129" t="s">
        <v>139</v>
      </c>
      <c r="F112" s="115">
        <f>H64-G81-F97-F111-F88</f>
        <v>314.93</v>
      </c>
    </row>
    <row r="114" spans="1:13" ht="18" thickBot="1" x14ac:dyDescent="0.55000000000000004">
      <c r="A114" s="117" t="s">
        <v>241</v>
      </c>
      <c r="B114" s="118"/>
      <c r="C114" s="118"/>
      <c r="D114" s="118"/>
      <c r="E114" s="118"/>
      <c r="F114" s="118"/>
      <c r="G114" s="118"/>
      <c r="H114" s="118"/>
      <c r="I114" s="118"/>
    </row>
    <row r="115" spans="1:13" ht="18" thickBot="1" x14ac:dyDescent="0.55000000000000004">
      <c r="A115" s="86" t="s">
        <v>135</v>
      </c>
      <c r="B115" s="86">
        <f>B62-E88</f>
        <v>0</v>
      </c>
      <c r="D115" s="86" t="s">
        <v>137</v>
      </c>
      <c r="E115" s="115">
        <f>F112</f>
        <v>314.93</v>
      </c>
    </row>
    <row r="116" spans="1:13" x14ac:dyDescent="0.5">
      <c r="A116" s="93"/>
      <c r="B116" s="125" t="str">
        <f>IF(B115&lt;0,"Not enough HI ava"," ")</f>
        <v xml:space="preserve"> </v>
      </c>
      <c r="D116" s="93"/>
      <c r="E116" s="95"/>
    </row>
    <row r="117" spans="1:13" ht="18" thickBot="1" x14ac:dyDescent="0.55000000000000004">
      <c r="B117" s="84" t="s">
        <v>127</v>
      </c>
    </row>
    <row r="118" spans="1:13" ht="18" thickBot="1" x14ac:dyDescent="0.55000000000000004">
      <c r="A118" s="86" t="s">
        <v>142</v>
      </c>
      <c r="B118" s="156">
        <v>0</v>
      </c>
    </row>
    <row r="119" spans="1:13" ht="18" thickBot="1" x14ac:dyDescent="0.55000000000000004">
      <c r="A119" s="86" t="s">
        <v>141</v>
      </c>
      <c r="B119" s="156">
        <v>0</v>
      </c>
    </row>
    <row r="120" spans="1:13" ht="18" thickBot="1" x14ac:dyDescent="0.55000000000000004">
      <c r="A120" s="86" t="s">
        <v>5</v>
      </c>
      <c r="B120" s="107">
        <f>B115-B118-B119</f>
        <v>0</v>
      </c>
      <c r="D120" s="84" t="str">
        <f>IF(B120&lt;0,"Total Exceeds ava HI points"," ")</f>
        <v xml:space="preserve"> </v>
      </c>
    </row>
    <row r="123" spans="1:13" ht="18" thickBot="1" x14ac:dyDescent="0.55000000000000004">
      <c r="A123" s="126" t="s">
        <v>142</v>
      </c>
    </row>
    <row r="124" spans="1:13" x14ac:dyDescent="0.5">
      <c r="A124" s="130" t="s">
        <v>143</v>
      </c>
      <c r="B124" s="131"/>
      <c r="C124" s="131"/>
      <c r="D124" s="131"/>
      <c r="E124" s="131"/>
      <c r="F124" s="131"/>
      <c r="G124" s="131"/>
      <c r="H124" s="131"/>
      <c r="I124" s="131"/>
      <c r="J124" s="131"/>
      <c r="K124" s="211" t="s">
        <v>154</v>
      </c>
      <c r="L124" s="209" t="s">
        <v>120</v>
      </c>
    </row>
    <row r="125" spans="1:13" ht="18" thickBot="1" x14ac:dyDescent="0.55000000000000004">
      <c r="A125" s="132" t="s">
        <v>144</v>
      </c>
      <c r="B125" s="133">
        <f>B118*8</f>
        <v>0</v>
      </c>
      <c r="C125" s="133" t="s">
        <v>149</v>
      </c>
      <c r="D125" s="133" t="s">
        <v>151</v>
      </c>
      <c r="E125" s="133" t="s">
        <v>150</v>
      </c>
      <c r="F125" s="133" t="s">
        <v>151</v>
      </c>
      <c r="G125" s="133" t="s">
        <v>152</v>
      </c>
      <c r="H125" s="133" t="s">
        <v>151</v>
      </c>
      <c r="I125" s="133" t="s">
        <v>153</v>
      </c>
      <c r="J125" s="133" t="s">
        <v>151</v>
      </c>
      <c r="K125" s="212"/>
      <c r="L125" s="210"/>
    </row>
    <row r="126" spans="1:13" ht="18" thickBot="1" x14ac:dyDescent="0.55000000000000004">
      <c r="A126" s="86" t="s">
        <v>145</v>
      </c>
      <c r="B126" s="150" t="str">
        <f>IF(B118&gt;0, 8," ")</f>
        <v xml:space="preserve"> </v>
      </c>
      <c r="C126" s="156"/>
      <c r="D126" s="157"/>
      <c r="E126" s="156"/>
      <c r="F126" s="157"/>
      <c r="G126" s="156"/>
      <c r="H126" s="157"/>
      <c r="I126" s="156"/>
      <c r="J126" s="157"/>
      <c r="K126" s="86">
        <f>C126+E126+(G126*2)+(I126*4)</f>
        <v>0</v>
      </c>
      <c r="L126" s="115">
        <f>Data!Q3</f>
        <v>0</v>
      </c>
      <c r="M126" s="92" t="str">
        <f>IF(K126&gt;8,"Need to reduce number of weapons ordered"," ")</f>
        <v xml:space="preserve"> </v>
      </c>
    </row>
    <row r="127" spans="1:13" ht="18" thickBot="1" x14ac:dyDescent="0.55000000000000004">
      <c r="A127" s="86" t="s">
        <v>146</v>
      </c>
      <c r="B127" s="150" t="str">
        <f>IF(B118&gt;1,8,"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Data!Q4</f>
        <v>0</v>
      </c>
      <c r="M127" s="92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6" t="s">
        <v>147</v>
      </c>
      <c r="B128" s="150" t="str">
        <f>IF(B118&gt;2,8,"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Data!Q5</f>
        <v>0</v>
      </c>
      <c r="M128" s="92" t="str">
        <f t="shared" si="18"/>
        <v xml:space="preserve"> </v>
      </c>
    </row>
    <row r="129" spans="1:13" ht="18" thickBot="1" x14ac:dyDescent="0.55000000000000004">
      <c r="A129" s="86" t="s">
        <v>148</v>
      </c>
      <c r="B129" s="150" t="str">
        <f>IF(B118&gt;3,8,"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Data!Q6</f>
        <v>0</v>
      </c>
      <c r="M129" s="92" t="str">
        <f t="shared" si="18"/>
        <v xml:space="preserve"> </v>
      </c>
    </row>
    <row r="130" spans="1:13" ht="18" thickBot="1" x14ac:dyDescent="0.55000000000000004">
      <c r="K130" s="86" t="s">
        <v>5</v>
      </c>
      <c r="L130" s="115">
        <f>SUM(L126:L129)</f>
        <v>0</v>
      </c>
    </row>
    <row r="131" spans="1:13" x14ac:dyDescent="0.5">
      <c r="A131" s="84" t="s">
        <v>9</v>
      </c>
    </row>
    <row r="132" spans="1:13" x14ac:dyDescent="0.5">
      <c r="B132" s="118"/>
      <c r="C132" s="118"/>
      <c r="D132" s="118"/>
      <c r="E132" s="118"/>
      <c r="F132" s="118"/>
      <c r="G132" s="118"/>
      <c r="H132" s="118"/>
      <c r="I132" s="118"/>
    </row>
    <row r="133" spans="1:13" ht="18" thickBot="1" x14ac:dyDescent="0.55000000000000004">
      <c r="A133" s="117" t="s">
        <v>165</v>
      </c>
      <c r="B133" s="134"/>
      <c r="C133" s="134"/>
      <c r="D133" s="134"/>
      <c r="E133" s="134"/>
      <c r="F133" s="93"/>
      <c r="G133" s="93"/>
    </row>
    <row r="134" spans="1:13" ht="18" thickBot="1" x14ac:dyDescent="0.55000000000000004">
      <c r="A134" s="213"/>
      <c r="B134" s="213"/>
      <c r="C134" s="134"/>
      <c r="D134" s="86" t="s">
        <v>160</v>
      </c>
      <c r="E134" s="86" t="s">
        <v>161</v>
      </c>
      <c r="F134" s="86" t="s">
        <v>162</v>
      </c>
      <c r="G134" s="86" t="s">
        <v>163</v>
      </c>
      <c r="H134" s="86" t="s">
        <v>120</v>
      </c>
      <c r="I134" s="86" t="s">
        <v>164</v>
      </c>
    </row>
    <row r="135" spans="1:13" ht="18" thickBot="1" x14ac:dyDescent="0.55000000000000004">
      <c r="A135" s="213"/>
      <c r="B135" s="213"/>
      <c r="C135" s="134"/>
      <c r="D135" s="160">
        <v>0</v>
      </c>
      <c r="E135" s="160">
        <v>0</v>
      </c>
      <c r="F135" s="160">
        <v>0</v>
      </c>
      <c r="G135" s="160">
        <v>0</v>
      </c>
      <c r="H135" s="89">
        <f>(D135*Data!Q17)+(Data!Q18*E135)+(F135*Data!Q17)+(G135*Data!Q17)</f>
        <v>0</v>
      </c>
      <c r="I135" s="86">
        <f>(D135+E135+F135+G135)*200000</f>
        <v>0</v>
      </c>
    </row>
    <row r="138" spans="1:13" x14ac:dyDescent="0.5">
      <c r="A138" s="118"/>
      <c r="B138" s="118"/>
      <c r="C138" s="118"/>
      <c r="D138" s="118"/>
      <c r="E138" s="118"/>
      <c r="F138" s="118"/>
      <c r="G138" s="118"/>
      <c r="H138" s="118"/>
      <c r="I138" s="118"/>
    </row>
    <row r="139" spans="1:13" ht="18" thickBot="1" x14ac:dyDescent="0.55000000000000004">
      <c r="A139" s="122" t="s">
        <v>141</v>
      </c>
    </row>
    <row r="140" spans="1:13" ht="18" thickBot="1" x14ac:dyDescent="0.55000000000000004">
      <c r="A140" s="86" t="s">
        <v>166</v>
      </c>
      <c r="B140" s="86">
        <f>B119*20</f>
        <v>0</v>
      </c>
    </row>
    <row r="141" spans="1:13" ht="18" thickBot="1" x14ac:dyDescent="0.55000000000000004"/>
    <row r="142" spans="1:13" x14ac:dyDescent="0.5">
      <c r="A142" s="130"/>
      <c r="B142" s="131"/>
      <c r="C142" s="131"/>
      <c r="D142" s="131"/>
      <c r="E142" s="131"/>
      <c r="F142" s="211" t="s">
        <v>170</v>
      </c>
      <c r="G142" s="135"/>
    </row>
    <row r="143" spans="1:13" ht="18" thickBot="1" x14ac:dyDescent="0.55000000000000004">
      <c r="A143" s="132" t="s">
        <v>167</v>
      </c>
      <c r="B143" s="133" t="s">
        <v>168</v>
      </c>
      <c r="C143" s="133" t="s">
        <v>126</v>
      </c>
      <c r="D143" s="133" t="s">
        <v>169</v>
      </c>
      <c r="E143" s="133" t="s">
        <v>151</v>
      </c>
      <c r="F143" s="212"/>
      <c r="G143" s="136" t="s">
        <v>120</v>
      </c>
    </row>
    <row r="144" spans="1:13" ht="18" thickBot="1" x14ac:dyDescent="0.55000000000000004">
      <c r="A144" s="157"/>
      <c r="B144" s="86" t="str">
        <f t="shared" ref="B144:B149" si="19">IF(A144&gt;" ",(VLOOKUP(A144,Ship_size,2,FALSE))," ")</f>
        <v xml:space="preserve"> </v>
      </c>
      <c r="C144" s="86" t="str">
        <f t="shared" ref="C144:C149" si="20">IF(A144&gt;" ",(VLOOKUP(A144,Ship_size,3,FALSE))," ")</f>
        <v xml:space="preserve"> </v>
      </c>
      <c r="D144" s="157"/>
      <c r="E144" s="157"/>
      <c r="F144" s="86">
        <f>IF(A144&gt;" ",(B144*D144),0)</f>
        <v>0</v>
      </c>
      <c r="G144" s="115">
        <f>IF(A144&gt;" ",(VLOOKUP(A144,Ship_size,Data!E40,FALSE)*D144),0)</f>
        <v>0</v>
      </c>
      <c r="H144" s="87"/>
    </row>
    <row r="145" spans="1:8" ht="18" thickBot="1" x14ac:dyDescent="0.55000000000000004">
      <c r="A145" s="157"/>
      <c r="B145" s="86" t="str">
        <f t="shared" si="19"/>
        <v xml:space="preserve"> </v>
      </c>
      <c r="C145" s="86" t="str">
        <f t="shared" si="20"/>
        <v xml:space="preserve"> </v>
      </c>
      <c r="D145" s="157"/>
      <c r="E145" s="157"/>
      <c r="F145" s="86">
        <f t="shared" ref="F145:F147" si="21">IF(A145&gt;" ",(B145*D145),0)</f>
        <v>0</v>
      </c>
      <c r="G145" s="115">
        <f>IF(A145&gt;" ",(VLOOKUP(A145,Ship_size,Data!E41,FALSE)*D145),0)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si="21"/>
        <v>0</v>
      </c>
      <c r="G146" s="115">
        <f>IF(A146&gt;" ",(VLOOKUP(A146,Ship_size,Data!E42,FALSE)*D146),0)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",(VLOOKUP(A147,Ship_size,Data!E43,FALSE)*D147),0)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ref="F148:F149" si="22">IF(A148&gt;" ",(B148*D148),0)</f>
        <v>0</v>
      </c>
      <c r="G148" s="115">
        <f>IF(A148&gt;" ",(VLOOKUP(A148,Ship_size,Data!E44,FALSE)*D148),0)</f>
        <v>0</v>
      </c>
      <c r="H148" s="13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si="22"/>
        <v>0</v>
      </c>
      <c r="G149" s="115">
        <f>IF(A149&gt;" ",(VLOOKUP(A149,Ship_size,Data!E45,FALSE)*D149),0)</f>
        <v>0</v>
      </c>
    </row>
    <row r="150" spans="1:8" ht="18" thickBot="1" x14ac:dyDescent="0.55000000000000004">
      <c r="C150" s="138" t="s">
        <v>9</v>
      </c>
      <c r="D150" s="139" t="s">
        <v>9</v>
      </c>
      <c r="E150" s="86" t="s">
        <v>5</v>
      </c>
      <c r="F150" s="86">
        <f>SUM(F144:F149)</f>
        <v>0</v>
      </c>
      <c r="G150" s="115">
        <f>SUM(G144:G149)</f>
        <v>0</v>
      </c>
      <c r="H150" s="92" t="str">
        <f>IF(F150&gt;B140,"Ship sizes used exceeds number of ship sizes ava"," ")</f>
        <v xml:space="preserve"> </v>
      </c>
    </row>
    <row r="152" spans="1:8" ht="18" thickBot="1" x14ac:dyDescent="0.55000000000000004">
      <c r="A152" s="84" t="s">
        <v>9</v>
      </c>
    </row>
    <row r="153" spans="1:8" x14ac:dyDescent="0.5">
      <c r="A153" s="130"/>
      <c r="B153" s="131"/>
      <c r="C153" s="131"/>
      <c r="D153" s="131"/>
      <c r="E153" s="131"/>
      <c r="F153" s="211"/>
      <c r="G153" s="135"/>
    </row>
    <row r="154" spans="1:8" ht="18" thickBot="1" x14ac:dyDescent="0.55000000000000004">
      <c r="A154" s="132" t="s">
        <v>177</v>
      </c>
      <c r="B154" s="133" t="s">
        <v>151</v>
      </c>
      <c r="C154" s="133" t="s">
        <v>169</v>
      </c>
      <c r="D154" s="140" t="s">
        <v>178</v>
      </c>
      <c r="E154" s="133"/>
      <c r="F154" s="212"/>
      <c r="G154" s="136"/>
    </row>
    <row r="155" spans="1:8" ht="18" thickBot="1" x14ac:dyDescent="0.55000000000000004">
      <c r="A155" s="86"/>
      <c r="B155" s="86"/>
      <c r="C155" s="86"/>
      <c r="D155" s="8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F159" s="86" t="s">
        <v>5</v>
      </c>
      <c r="G159" s="89">
        <v>0</v>
      </c>
    </row>
    <row r="161" spans="1:14" ht="18" thickBot="1" x14ac:dyDescent="0.55000000000000004">
      <c r="A161" s="141" t="s">
        <v>179</v>
      </c>
      <c r="B161" s="142"/>
      <c r="C161" s="142"/>
      <c r="D161" s="142"/>
      <c r="E161" s="142"/>
      <c r="F161" s="142"/>
      <c r="G161" s="142"/>
    </row>
    <row r="162" spans="1:14" ht="18" thickBot="1" x14ac:dyDescent="0.55000000000000004">
      <c r="A162" s="143" t="s">
        <v>181</v>
      </c>
      <c r="B162" s="143" t="s">
        <v>180</v>
      </c>
      <c r="C162" s="143" t="s">
        <v>120</v>
      </c>
    </row>
    <row r="163" spans="1:14" ht="18" thickBot="1" x14ac:dyDescent="0.55000000000000004">
      <c r="A163" s="161"/>
      <c r="B163" s="161"/>
      <c r="C163" s="115" t="str">
        <f>IF(B163&gt;0,(VLOOKUP(B163,MilitaryB_cost,2,FALSE))," ")</f>
        <v xml:space="preserve"> 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B167" s="86" t="s">
        <v>44</v>
      </c>
      <c r="C167" s="115">
        <f>SUM(C163:C166)</f>
        <v>0</v>
      </c>
    </row>
    <row r="170" spans="1:14" x14ac:dyDescent="0.5">
      <c r="B170" s="118"/>
      <c r="C170" s="118"/>
      <c r="D170" s="118"/>
      <c r="E170" s="118"/>
      <c r="F170" s="118"/>
      <c r="G170" s="118"/>
      <c r="H170" s="118"/>
      <c r="I170" s="118"/>
    </row>
    <row r="171" spans="1:14" ht="18" thickBot="1" x14ac:dyDescent="0.55000000000000004">
      <c r="A171" s="117" t="s">
        <v>182</v>
      </c>
    </row>
    <row r="172" spans="1:14" ht="18" thickBot="1" x14ac:dyDescent="0.55000000000000004">
      <c r="A172" s="199" t="s">
        <v>183</v>
      </c>
      <c r="B172" s="200"/>
      <c r="C172" s="200"/>
      <c r="D172" s="200"/>
      <c r="E172" s="200"/>
      <c r="F172" s="201"/>
      <c r="G172" s="144" t="s">
        <v>184</v>
      </c>
      <c r="N172" s="145"/>
    </row>
    <row r="173" spans="1:14" ht="19.5" customHeight="1" thickBot="1" x14ac:dyDescent="0.55000000000000004">
      <c r="A173" s="193"/>
      <c r="B173" s="194"/>
      <c r="C173" s="194"/>
      <c r="D173" s="194"/>
      <c r="E173" s="194"/>
      <c r="F173" s="195"/>
      <c r="G173" s="159"/>
    </row>
    <row r="174" spans="1:14" ht="18" thickBot="1" x14ac:dyDescent="0.55000000000000004">
      <c r="A174" s="193"/>
      <c r="B174" s="194"/>
      <c r="C174" s="194"/>
      <c r="D174" s="194"/>
      <c r="E174" s="194"/>
      <c r="F174" s="195"/>
      <c r="G174" s="159"/>
    </row>
    <row r="175" spans="1:14" ht="19.5" customHeight="1" thickBot="1" x14ac:dyDescent="0.55000000000000004">
      <c r="A175" s="193"/>
      <c r="B175" s="194"/>
      <c r="C175" s="194"/>
      <c r="D175" s="194"/>
      <c r="E175" s="194"/>
      <c r="F175" s="195"/>
      <c r="G175" s="159"/>
    </row>
    <row r="176" spans="1:14" ht="19.5" customHeight="1" thickBot="1" x14ac:dyDescent="0.55000000000000004">
      <c r="A176" s="193"/>
      <c r="B176" s="194"/>
      <c r="C176" s="194"/>
      <c r="D176" s="194"/>
      <c r="E176" s="194"/>
      <c r="F176" s="195"/>
      <c r="G176" s="159"/>
    </row>
    <row r="177" spans="1:7" ht="19.5" customHeight="1" thickBot="1" x14ac:dyDescent="0.55000000000000004">
      <c r="A177" s="193"/>
      <c r="B177" s="194"/>
      <c r="C177" s="194"/>
      <c r="D177" s="194"/>
      <c r="E177" s="194"/>
      <c r="F177" s="195"/>
      <c r="G177" s="159"/>
    </row>
    <row r="178" spans="1:7" ht="19.5" customHeight="1" thickBot="1" x14ac:dyDescent="0.55000000000000004">
      <c r="A178" s="193"/>
      <c r="B178" s="194"/>
      <c r="C178" s="194"/>
      <c r="D178" s="194"/>
      <c r="E178" s="194"/>
      <c r="F178" s="195"/>
      <c r="G178" s="159"/>
    </row>
    <row r="179" spans="1:7" ht="19.5" customHeight="1" thickBot="1" x14ac:dyDescent="0.55000000000000004">
      <c r="A179" s="193"/>
      <c r="B179" s="194"/>
      <c r="C179" s="194"/>
      <c r="D179" s="194"/>
      <c r="E179" s="194"/>
      <c r="F179" s="195"/>
      <c r="G179" s="159"/>
    </row>
    <row r="180" spans="1:7" ht="19.5" customHeight="1" thickBot="1" x14ac:dyDescent="0.55000000000000004">
      <c r="A180" s="193"/>
      <c r="B180" s="194"/>
      <c r="C180" s="194"/>
      <c r="D180" s="194"/>
      <c r="E180" s="194"/>
      <c r="F180" s="195"/>
      <c r="G180" s="159"/>
    </row>
    <row r="181" spans="1:7" ht="19.5" customHeight="1" thickBot="1" x14ac:dyDescent="0.55000000000000004">
      <c r="A181" s="193"/>
      <c r="B181" s="194"/>
      <c r="C181" s="194"/>
      <c r="D181" s="194"/>
      <c r="E181" s="194"/>
      <c r="F181" s="195"/>
      <c r="G181" s="159"/>
    </row>
    <row r="182" spans="1:7" ht="19.5" customHeight="1" thickBot="1" x14ac:dyDescent="0.55000000000000004">
      <c r="A182" s="193"/>
      <c r="B182" s="194"/>
      <c r="C182" s="194"/>
      <c r="D182" s="194"/>
      <c r="E182" s="194"/>
      <c r="F182" s="195"/>
      <c r="G182" s="159"/>
    </row>
    <row r="183" spans="1:7" ht="18" thickBot="1" x14ac:dyDescent="0.55000000000000004">
      <c r="A183" s="193"/>
      <c r="B183" s="194"/>
      <c r="C183" s="194"/>
      <c r="D183" s="194"/>
      <c r="E183" s="194"/>
      <c r="F183" s="195"/>
      <c r="G183" s="159"/>
    </row>
    <row r="184" spans="1:7" ht="18" thickBot="1" x14ac:dyDescent="0.55000000000000004">
      <c r="A184" s="196"/>
      <c r="B184" s="197"/>
      <c r="C184" s="197"/>
      <c r="D184" s="197"/>
      <c r="E184" s="197"/>
      <c r="F184" s="198"/>
      <c r="G184" s="159"/>
    </row>
    <row r="185" spans="1:7" ht="18" thickBot="1" x14ac:dyDescent="0.55000000000000004">
      <c r="A185" s="193"/>
      <c r="B185" s="194"/>
      <c r="C185" s="194"/>
      <c r="D185" s="194"/>
      <c r="E185" s="194"/>
      <c r="F185" s="195"/>
      <c r="G185" s="162"/>
    </row>
    <row r="186" spans="1:7" ht="18" thickBot="1" x14ac:dyDescent="0.55000000000000004">
      <c r="A186" s="193"/>
      <c r="B186" s="194"/>
      <c r="C186" s="194"/>
      <c r="D186" s="194"/>
      <c r="E186" s="194"/>
      <c r="F186" s="195"/>
      <c r="G186" s="162"/>
    </row>
    <row r="187" spans="1:7" ht="18" thickBot="1" x14ac:dyDescent="0.55000000000000004">
      <c r="A187" s="206"/>
      <c r="B187" s="207"/>
      <c r="C187" s="207"/>
      <c r="D187" s="207"/>
      <c r="E187" s="207"/>
      <c r="F187" s="208"/>
      <c r="G187" s="162"/>
    </row>
    <row r="188" spans="1:7" ht="18" thickBot="1" x14ac:dyDescent="0.55000000000000004">
      <c r="A188" s="193"/>
      <c r="B188" s="194"/>
      <c r="C188" s="194"/>
      <c r="D188" s="194"/>
      <c r="E188" s="194"/>
      <c r="F188" s="195"/>
      <c r="G188" s="159"/>
    </row>
    <row r="189" spans="1:7" ht="18" thickBot="1" x14ac:dyDescent="0.55000000000000004">
      <c r="A189" s="193"/>
      <c r="B189" s="194"/>
      <c r="C189" s="194"/>
      <c r="D189" s="194"/>
      <c r="E189" s="194"/>
      <c r="F189" s="195"/>
      <c r="G189" s="159"/>
    </row>
    <row r="190" spans="1:7" ht="18" thickBot="1" x14ac:dyDescent="0.55000000000000004">
      <c r="A190" s="206"/>
      <c r="B190" s="207"/>
      <c r="C190" s="207"/>
      <c r="D190" s="207"/>
      <c r="E190" s="207"/>
      <c r="F190" s="208"/>
      <c r="G190" s="159"/>
    </row>
    <row r="191" spans="1:7" ht="18" thickBot="1" x14ac:dyDescent="0.55000000000000004">
      <c r="A191" s="193"/>
      <c r="B191" s="207"/>
      <c r="C191" s="207"/>
      <c r="D191" s="207"/>
      <c r="E191" s="207"/>
      <c r="F191" s="208"/>
      <c r="G191" s="159"/>
    </row>
    <row r="192" spans="1:7" ht="41.25" customHeight="1" thickBot="1" x14ac:dyDescent="0.55000000000000004"/>
    <row r="193" spans="5:7" ht="18" thickBot="1" x14ac:dyDescent="0.55000000000000004">
      <c r="F193" s="86" t="s">
        <v>5</v>
      </c>
      <c r="G193" s="115">
        <f>SUM(G173:G191)</f>
        <v>0</v>
      </c>
    </row>
    <row r="194" spans="5:7" ht="18" thickBot="1" x14ac:dyDescent="0.55000000000000004"/>
    <row r="195" spans="5:7" ht="18" thickBot="1" x14ac:dyDescent="0.55000000000000004">
      <c r="E195" s="199" t="s">
        <v>111</v>
      </c>
      <c r="F195" s="201"/>
      <c r="G195" s="115">
        <f>E115-L130-H135-G150-G159-C167-G193</f>
        <v>314.93</v>
      </c>
    </row>
  </sheetData>
  <sheetProtection algorithmName="SHA-512" hashValue="tZhjleV1m1glyfpnMHEJtpNmMV6ZBv6kgdZpmCRPxWKPI4q1P8Skn+lpVWeXqBOyDML9eeL81uqGmFfZC3p63w==" saltValue="U9ZyFWAvqXb6QFXxyLjwI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A189:F189"/>
    <mergeCell ref="A190:F190"/>
    <mergeCell ref="A186:F186"/>
    <mergeCell ref="A187:F187"/>
    <mergeCell ref="E195:F195"/>
    <mergeCell ref="A191:F191"/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Ferrocarriles!$G$5:$G$10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Colonias!$B$36:$B$44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Colonias!$B$36:$B$54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23" t="s">
        <v>190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</row>
    <row r="5" spans="1:20" ht="15.75" thickBot="1" x14ac:dyDescent="0.5">
      <c r="A5" s="83" t="s">
        <v>191</v>
      </c>
    </row>
    <row r="6" spans="1:20" ht="15.75" thickBot="1" x14ac:dyDescent="0.5">
      <c r="A6" s="50"/>
      <c r="B6" s="261" t="s">
        <v>160</v>
      </c>
      <c r="C6" s="261" t="s">
        <v>151</v>
      </c>
      <c r="D6" s="261" t="s">
        <v>189</v>
      </c>
      <c r="E6" s="261" t="s">
        <v>151</v>
      </c>
      <c r="F6" s="261" t="s">
        <v>150</v>
      </c>
      <c r="G6" s="261" t="s">
        <v>151</v>
      </c>
      <c r="H6" s="261" t="s">
        <v>152</v>
      </c>
      <c r="I6" s="261" t="s">
        <v>151</v>
      </c>
      <c r="J6" s="261" t="s">
        <v>153</v>
      </c>
      <c r="K6" s="259" t="s">
        <v>151</v>
      </c>
      <c r="N6" s="224" t="s">
        <v>192</v>
      </c>
      <c r="O6" s="224"/>
      <c r="P6" s="224"/>
    </row>
    <row r="7" spans="1:20" ht="15.75" thickBot="1" x14ac:dyDescent="0.5">
      <c r="A7" s="51" t="s">
        <v>181</v>
      </c>
      <c r="B7" s="262"/>
      <c r="C7" s="262"/>
      <c r="D7" s="262"/>
      <c r="E7" s="262"/>
      <c r="F7" s="262"/>
      <c r="G7" s="262"/>
      <c r="H7" s="262"/>
      <c r="I7" s="262"/>
      <c r="J7" s="262"/>
      <c r="K7" s="260"/>
      <c r="N7" s="7"/>
      <c r="O7" s="49" t="s">
        <v>120</v>
      </c>
      <c r="P7" s="49" t="s">
        <v>194</v>
      </c>
    </row>
    <row r="8" spans="1:20" ht="15.75" thickBot="1" x14ac:dyDescent="0.5">
      <c r="A8" s="49" t="s">
        <v>246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193</v>
      </c>
      <c r="O8" s="7"/>
      <c r="P8" s="52">
        <f>B37/1000000</f>
        <v>9.4</v>
      </c>
    </row>
    <row r="9" spans="1:20" ht="15.75" thickBot="1" x14ac:dyDescent="0.5">
      <c r="A9" s="152" t="s">
        <v>246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249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255</v>
      </c>
      <c r="B11" s="49" t="s">
        <v>250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54</v>
      </c>
      <c r="P11" s="7"/>
    </row>
    <row r="12" spans="1:20" ht="15.75" thickBot="1" x14ac:dyDescent="0.5">
      <c r="A12" s="49" t="s">
        <v>253</v>
      </c>
      <c r="B12" s="49" t="s">
        <v>250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95</v>
      </c>
      <c r="P12" s="52">
        <f>P8+P9</f>
        <v>10.220000000000001</v>
      </c>
    </row>
    <row r="13" spans="1:20" ht="15.75" thickBot="1" x14ac:dyDescent="0.5">
      <c r="A13" s="49" t="s">
        <v>251</v>
      </c>
      <c r="B13" s="49" t="s">
        <v>250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254</v>
      </c>
      <c r="B14" s="49" t="s">
        <v>250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252</v>
      </c>
      <c r="B15" s="49" t="s">
        <v>250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256</v>
      </c>
      <c r="C28" s="45"/>
      <c r="D28" s="167"/>
      <c r="E28" s="165"/>
      <c r="F28" s="166" t="s">
        <v>212</v>
      </c>
      <c r="G28" s="53">
        <f>B25+D25+H25+J25</f>
        <v>62</v>
      </c>
      <c r="I28" s="55" t="s">
        <v>111</v>
      </c>
      <c r="J28" s="59">
        <f>Econ!G195</f>
        <v>314.93</v>
      </c>
    </row>
    <row r="29" spans="1:18" ht="16.149999999999999" thickTop="1" thickBot="1" x14ac:dyDescent="0.5">
      <c r="A29" s="49" t="s">
        <v>197</v>
      </c>
      <c r="B29" s="49" t="s">
        <v>13</v>
      </c>
    </row>
    <row r="30" spans="1:18" ht="15.75" thickBot="1" x14ac:dyDescent="0.5">
      <c r="A30" s="56" t="s">
        <v>198</v>
      </c>
      <c r="B30" s="57" t="s">
        <v>257</v>
      </c>
      <c r="E30" s="224" t="s">
        <v>199</v>
      </c>
      <c r="F30" s="224"/>
      <c r="G30" s="224"/>
      <c r="H30" s="224"/>
      <c r="I30" s="224"/>
      <c r="J30" s="224"/>
      <c r="K30" s="224"/>
    </row>
    <row r="31" spans="1:18" ht="15.75" thickBot="1" x14ac:dyDescent="0.5">
      <c r="A31" s="44"/>
      <c r="B31" s="44"/>
      <c r="C31" s="44"/>
      <c r="E31" s="224" t="s">
        <v>64</v>
      </c>
      <c r="F31" s="224"/>
      <c r="G31" s="224"/>
      <c r="H31" s="49" t="s">
        <v>120</v>
      </c>
      <c r="I31" s="224" t="s">
        <v>200</v>
      </c>
      <c r="J31" s="224"/>
      <c r="K31" s="224"/>
    </row>
    <row r="32" spans="1:18" ht="15.75" thickBot="1" x14ac:dyDescent="0.5">
      <c r="A32" s="44"/>
      <c r="B32" s="44"/>
      <c r="C32" s="44"/>
      <c r="E32" s="234"/>
      <c r="F32" s="235"/>
      <c r="G32" s="236"/>
      <c r="H32" s="173"/>
      <c r="I32" s="234"/>
      <c r="J32" s="235"/>
      <c r="K32" s="236"/>
      <c r="R32" s="44"/>
    </row>
    <row r="33" spans="1:16" ht="15.75" thickBot="1" x14ac:dyDescent="0.5">
      <c r="A33" s="44"/>
      <c r="E33" s="234"/>
      <c r="F33" s="235"/>
      <c r="G33" s="236"/>
      <c r="H33" s="173"/>
      <c r="I33" s="234"/>
      <c r="J33" s="235"/>
      <c r="K33" s="236"/>
    </row>
    <row r="34" spans="1:16" ht="16.149999999999999" thickTop="1" thickBot="1" x14ac:dyDescent="0.5">
      <c r="A34" s="55" t="s">
        <v>9</v>
      </c>
      <c r="B34" s="55" t="s">
        <v>164</v>
      </c>
      <c r="C34" s="20" t="s">
        <v>9</v>
      </c>
      <c r="E34" s="234"/>
      <c r="F34" s="235"/>
      <c r="G34" s="236"/>
      <c r="H34" s="173"/>
      <c r="I34" s="234"/>
      <c r="J34" s="235"/>
      <c r="K34" s="236"/>
    </row>
    <row r="35" spans="1:16" ht="16.149999999999999" thickTop="1" thickBot="1" x14ac:dyDescent="0.5">
      <c r="A35" s="55" t="s">
        <v>201</v>
      </c>
      <c r="B35" s="60">
        <f>(B25+H25+J25)*200000</f>
        <v>6400000</v>
      </c>
      <c r="E35" s="234"/>
      <c r="F35" s="235"/>
      <c r="G35" s="236"/>
      <c r="H35" s="173"/>
      <c r="I35" s="234"/>
      <c r="J35" s="235"/>
      <c r="K35" s="236"/>
    </row>
    <row r="36" spans="1:16" ht="16.149999999999999" thickTop="1" thickBot="1" x14ac:dyDescent="0.5">
      <c r="A36" s="55" t="s">
        <v>202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24" t="s">
        <v>203</v>
      </c>
      <c r="H39" s="224"/>
      <c r="I39" s="224"/>
      <c r="J39" s="224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37" t="s">
        <v>181</v>
      </c>
      <c r="B48" s="239" t="s">
        <v>207</v>
      </c>
      <c r="C48" s="239" t="s">
        <v>151</v>
      </c>
      <c r="D48" s="239" t="s">
        <v>208</v>
      </c>
      <c r="E48" s="239" t="s">
        <v>151</v>
      </c>
      <c r="F48" s="239" t="s">
        <v>209</v>
      </c>
      <c r="G48" s="239" t="s">
        <v>151</v>
      </c>
      <c r="H48" s="239" t="s">
        <v>210</v>
      </c>
      <c r="I48" s="239" t="s">
        <v>151</v>
      </c>
      <c r="J48" s="239" t="s">
        <v>174</v>
      </c>
      <c r="K48" s="239" t="s">
        <v>151</v>
      </c>
      <c r="L48" s="239" t="s">
        <v>176</v>
      </c>
    </row>
    <row r="49" spans="1:12" ht="16.149999999999999" thickTop="1" thickBot="1" x14ac:dyDescent="0.5">
      <c r="A49" s="238"/>
      <c r="B49" s="239"/>
      <c r="C49" s="239"/>
      <c r="D49" s="239"/>
      <c r="E49" s="239"/>
      <c r="F49" s="239"/>
      <c r="G49" s="239"/>
      <c r="H49" s="239"/>
      <c r="I49" s="239"/>
      <c r="J49" s="239"/>
      <c r="K49" s="239"/>
      <c r="L49" s="239"/>
    </row>
    <row r="50" spans="1:12" s="47" customFormat="1" ht="16.149999999999999" thickTop="1" thickBot="1" x14ac:dyDescent="0.5">
      <c r="A50" s="62" t="s">
        <v>258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258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259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260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261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262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256</v>
      </c>
      <c r="E63" s="49"/>
      <c r="F63" s="58" t="s">
        <v>211</v>
      </c>
      <c r="G63" s="53">
        <f>B64*0.5</f>
        <v>81.5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214</v>
      </c>
      <c r="B65" s="59">
        <f>ROUNDUP((B64/20)*5,0)</f>
        <v>41</v>
      </c>
      <c r="E65" s="224" t="s">
        <v>215</v>
      </c>
      <c r="F65" s="224"/>
      <c r="G65" s="224"/>
      <c r="H65" s="224"/>
      <c r="I65" s="224"/>
      <c r="J65" s="224"/>
      <c r="K65" s="224"/>
    </row>
    <row r="66" spans="1:16" ht="16.149999999999999" thickTop="1" thickBot="1" x14ac:dyDescent="0.5">
      <c r="A66" s="55" t="s">
        <v>164</v>
      </c>
      <c r="B66" s="55">
        <f>ROUNDUP((B64/20)*0.1,2)</f>
        <v>0.82000000000000006</v>
      </c>
      <c r="C66" s="20" t="s">
        <v>58</v>
      </c>
      <c r="E66" s="224" t="s">
        <v>216</v>
      </c>
      <c r="F66" s="224"/>
      <c r="G66" s="224"/>
      <c r="H66" s="49" t="s">
        <v>120</v>
      </c>
      <c r="I66" s="224" t="s">
        <v>200</v>
      </c>
      <c r="J66" s="224"/>
      <c r="K66" s="224"/>
    </row>
    <row r="67" spans="1:16" ht="15" customHeight="1" thickTop="1" thickBot="1" x14ac:dyDescent="0.5">
      <c r="E67" s="234"/>
      <c r="F67" s="235"/>
      <c r="G67" s="236"/>
      <c r="H67" s="173"/>
      <c r="I67" s="234"/>
      <c r="J67" s="235"/>
      <c r="K67" s="236"/>
    </row>
    <row r="68" spans="1:16" ht="15" customHeight="1" thickBot="1" x14ac:dyDescent="0.5">
      <c r="E68" s="234"/>
      <c r="F68" s="235"/>
      <c r="G68" s="236"/>
      <c r="H68" s="173"/>
      <c r="I68" s="234"/>
      <c r="J68" s="235"/>
      <c r="K68" s="236"/>
    </row>
    <row r="69" spans="1:16" ht="15" customHeight="1" thickBot="1" x14ac:dyDescent="0.5">
      <c r="E69" s="234"/>
      <c r="F69" s="235"/>
      <c r="G69" s="236"/>
      <c r="H69" s="173"/>
      <c r="I69" s="234"/>
      <c r="J69" s="235"/>
      <c r="K69" s="236"/>
    </row>
    <row r="70" spans="1:16" ht="15.75" thickBot="1" x14ac:dyDescent="0.5">
      <c r="E70" s="234"/>
      <c r="F70" s="235"/>
      <c r="G70" s="236"/>
      <c r="H70" s="173"/>
      <c r="I70" s="234"/>
      <c r="J70" s="235"/>
      <c r="K70" s="236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314.93</v>
      </c>
      <c r="I72" s="48"/>
    </row>
    <row r="75" spans="1:16" ht="15.75" thickBot="1" x14ac:dyDescent="0.5">
      <c r="A75" s="83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120</v>
      </c>
      <c r="D76" s="252" t="s">
        <v>181</v>
      </c>
      <c r="E76" s="252"/>
      <c r="F76" s="252"/>
      <c r="G76" s="252"/>
      <c r="H76" s="252"/>
      <c r="I76" s="252"/>
      <c r="J76" s="252"/>
      <c r="K76" s="252"/>
      <c r="L76" s="252"/>
      <c r="M76" s="252"/>
      <c r="N76" s="252"/>
      <c r="O76" s="252"/>
      <c r="P76" s="252"/>
    </row>
    <row r="77" spans="1:16" ht="15.75" thickBot="1" x14ac:dyDescent="0.5">
      <c r="A77" s="49" t="s">
        <v>222</v>
      </c>
      <c r="B77" s="49">
        <v>8</v>
      </c>
      <c r="C77" s="69"/>
      <c r="D77" s="253" t="s">
        <v>263</v>
      </c>
      <c r="E77" s="254"/>
      <c r="F77" s="254"/>
      <c r="G77" s="254"/>
      <c r="H77" s="254"/>
      <c r="I77" s="254"/>
      <c r="J77" s="254"/>
      <c r="K77" s="254"/>
      <c r="L77" s="254"/>
      <c r="M77" s="254"/>
      <c r="N77" s="254"/>
      <c r="O77" s="254"/>
      <c r="P77" s="255"/>
    </row>
    <row r="78" spans="1:16" ht="15.75" thickBot="1" x14ac:dyDescent="0.5">
      <c r="A78" s="49" t="s">
        <v>218</v>
      </c>
      <c r="B78" s="49">
        <v>12</v>
      </c>
      <c r="C78" s="70">
        <f>B78</f>
        <v>12</v>
      </c>
      <c r="D78" s="256" t="s">
        <v>264</v>
      </c>
      <c r="E78" s="257"/>
      <c r="F78" s="257"/>
      <c r="G78" s="257"/>
      <c r="H78" s="257"/>
      <c r="I78" s="257"/>
      <c r="J78" s="257"/>
      <c r="K78" s="257"/>
      <c r="L78" s="257"/>
      <c r="M78" s="257"/>
      <c r="N78" s="257"/>
      <c r="O78" s="257"/>
      <c r="P78" s="258"/>
    </row>
    <row r="79" spans="1:16" x14ac:dyDescent="0.45">
      <c r="A79" s="35"/>
      <c r="B79" s="35"/>
      <c r="C79" s="15"/>
      <c r="D79" s="228" t="s">
        <v>265</v>
      </c>
      <c r="E79" s="229"/>
      <c r="F79" s="229"/>
      <c r="G79" s="229"/>
      <c r="H79" s="229"/>
      <c r="I79" s="229"/>
      <c r="J79" s="229"/>
      <c r="K79" s="229"/>
      <c r="L79" s="229"/>
      <c r="M79" s="229"/>
      <c r="N79" s="229"/>
      <c r="O79" s="229"/>
      <c r="P79" s="230"/>
    </row>
    <row r="80" spans="1:16" x14ac:dyDescent="0.45">
      <c r="A80" s="35"/>
      <c r="B80" s="35"/>
      <c r="C80" s="15"/>
      <c r="D80" s="228" t="s">
        <v>292</v>
      </c>
      <c r="E80" s="229"/>
      <c r="F80" s="229"/>
      <c r="G80" s="229"/>
      <c r="H80" s="229"/>
      <c r="I80" s="229"/>
      <c r="J80" s="229"/>
      <c r="K80" s="229"/>
      <c r="L80" s="229"/>
      <c r="M80" s="229"/>
      <c r="N80" s="229"/>
      <c r="O80" s="229"/>
      <c r="P80" s="230"/>
    </row>
    <row r="81" spans="1:16" x14ac:dyDescent="0.45">
      <c r="A81" s="35"/>
      <c r="B81" s="35"/>
      <c r="C81" s="15"/>
      <c r="D81" s="228" t="s">
        <v>266</v>
      </c>
      <c r="E81" s="229"/>
      <c r="F81" s="229"/>
      <c r="G81" s="229"/>
      <c r="H81" s="229"/>
      <c r="I81" s="229"/>
      <c r="J81" s="229"/>
      <c r="K81" s="229"/>
      <c r="L81" s="229"/>
      <c r="M81" s="229"/>
      <c r="N81" s="229"/>
      <c r="O81" s="229"/>
      <c r="P81" s="230"/>
    </row>
    <row r="82" spans="1:16" x14ac:dyDescent="0.45">
      <c r="A82" s="35"/>
      <c r="B82" s="35"/>
      <c r="C82" s="15"/>
      <c r="D82" s="231" t="s">
        <v>267</v>
      </c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2"/>
      <c r="P82" s="233"/>
    </row>
    <row r="83" spans="1:16" ht="15.75" thickBot="1" x14ac:dyDescent="0.5">
      <c r="A83" s="35"/>
      <c r="B83" s="35"/>
      <c r="C83" s="15"/>
      <c r="D83" s="225"/>
      <c r="E83" s="226"/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7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120</v>
      </c>
      <c r="D86" s="224" t="s">
        <v>181</v>
      </c>
      <c r="E86" s="224"/>
      <c r="F86" s="224"/>
      <c r="G86" s="224"/>
      <c r="H86" s="224"/>
      <c r="I86" s="224"/>
      <c r="J86" s="224"/>
      <c r="K86" s="224"/>
      <c r="L86" s="224"/>
      <c r="M86" s="224"/>
      <c r="N86" s="224"/>
      <c r="O86" s="224"/>
      <c r="P86" s="224"/>
    </row>
    <row r="87" spans="1:16" ht="15.75" thickBot="1" x14ac:dyDescent="0.5">
      <c r="A87" s="57" t="s">
        <v>222</v>
      </c>
      <c r="B87" s="57">
        <v>16</v>
      </c>
      <c r="C87" s="69"/>
      <c r="D87" s="220" t="s">
        <v>268</v>
      </c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2"/>
    </row>
    <row r="88" spans="1:16" ht="15.75" thickBot="1" x14ac:dyDescent="0.5">
      <c r="A88" s="164" t="s">
        <v>218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120</v>
      </c>
      <c r="D90" s="224" t="s">
        <v>181</v>
      </c>
      <c r="E90" s="224"/>
      <c r="F90" s="224"/>
      <c r="G90" s="224"/>
      <c r="H90" s="224"/>
      <c r="I90" s="224"/>
      <c r="J90" s="224"/>
      <c r="K90" s="224"/>
      <c r="L90" s="224"/>
      <c r="M90" s="224"/>
      <c r="N90" s="224"/>
      <c r="O90" s="224"/>
      <c r="P90" s="224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40" t="s">
        <v>269</v>
      </c>
      <c r="E91" s="241"/>
      <c r="F91" s="241"/>
      <c r="G91" s="241"/>
      <c r="H91" s="241"/>
      <c r="I91" s="241"/>
      <c r="J91" s="241"/>
      <c r="K91" s="241"/>
      <c r="L91" s="241"/>
      <c r="M91" s="241"/>
      <c r="N91" s="241"/>
      <c r="O91" s="241"/>
      <c r="P91" s="242"/>
    </row>
    <row r="92" spans="1:16" ht="35.25" customHeight="1" thickBot="1" x14ac:dyDescent="0.5">
      <c r="D92" s="243"/>
      <c r="E92" s="244"/>
      <c r="F92" s="244"/>
      <c r="G92" s="244"/>
      <c r="H92" s="244"/>
      <c r="I92" s="244"/>
      <c r="J92" s="244"/>
      <c r="K92" s="244"/>
      <c r="L92" s="244"/>
      <c r="M92" s="244"/>
      <c r="N92" s="244"/>
      <c r="O92" s="244"/>
      <c r="P92" s="245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221</v>
      </c>
      <c r="B94" s="49" t="s">
        <v>169</v>
      </c>
      <c r="C94" s="49" t="s">
        <v>120</v>
      </c>
      <c r="D94" s="224" t="s">
        <v>181</v>
      </c>
      <c r="E94" s="224"/>
      <c r="F94" s="224"/>
      <c r="G94" s="224"/>
      <c r="H94" s="224"/>
      <c r="I94" s="224"/>
      <c r="J94" s="224"/>
      <c r="K94" s="224"/>
      <c r="L94" s="224"/>
      <c r="M94" s="224"/>
      <c r="N94" s="224"/>
      <c r="O94" s="224"/>
      <c r="P94" s="224"/>
    </row>
    <row r="95" spans="1:16" ht="15.75" thickBot="1" x14ac:dyDescent="0.5">
      <c r="A95" s="49"/>
      <c r="B95" s="49">
        <v>3</v>
      </c>
      <c r="C95" s="70">
        <f>B95*4</f>
        <v>12</v>
      </c>
      <c r="D95" s="246" t="s">
        <v>270</v>
      </c>
      <c r="E95" s="247"/>
      <c r="F95" s="247"/>
      <c r="G95" s="247"/>
      <c r="H95" s="247"/>
      <c r="I95" s="247"/>
      <c r="J95" s="247"/>
      <c r="K95" s="247"/>
      <c r="L95" s="247"/>
      <c r="M95" s="247"/>
      <c r="N95" s="247"/>
      <c r="O95" s="247"/>
      <c r="P95" s="248"/>
    </row>
    <row r="96" spans="1:16" ht="15.75" thickBot="1" x14ac:dyDescent="0.5">
      <c r="D96" s="249"/>
      <c r="E96" s="250"/>
      <c r="F96" s="250"/>
      <c r="G96" s="250"/>
      <c r="H96" s="250"/>
      <c r="I96" s="250"/>
      <c r="J96" s="250"/>
      <c r="K96" s="250"/>
      <c r="L96" s="250"/>
      <c r="M96" s="250"/>
      <c r="N96" s="250"/>
      <c r="O96" s="250"/>
      <c r="P96" s="251"/>
    </row>
    <row r="99" spans="1:17" x14ac:dyDescent="0.45">
      <c r="A99" s="167" t="s">
        <v>6</v>
      </c>
      <c r="B99" s="171">
        <f>C78+C88+C91+C95</f>
        <v>54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60</v>
      </c>
      <c r="D102" s="61">
        <f>H72</f>
        <v>314.93</v>
      </c>
    </row>
  </sheetData>
  <sheetProtection algorithmName="SHA-512" hashValue="Fo+4LHgXYpAHo4V7Eqt8mYTwSjQ6rR6s4xLShUNjFwBPe/Ux1AmFbUGWVnTQIGYqo2OLRpmC+auOsXGR7wxD3g==" saltValue="8PqRuGSpBFyvOok165b2O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6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5" t="s">
        <v>244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7"/>
      <c r="C5" s="268" t="s">
        <v>224</v>
      </c>
      <c r="D5" s="269"/>
      <c r="E5" s="269"/>
      <c r="F5" s="269"/>
      <c r="G5" s="269"/>
      <c r="H5" s="269"/>
      <c r="I5" s="270"/>
      <c r="J5" s="17"/>
      <c r="K5" s="266" t="s">
        <v>225</v>
      </c>
      <c r="L5" s="266"/>
      <c r="M5" s="266"/>
      <c r="N5" s="266"/>
      <c r="O5" s="266"/>
      <c r="P5" s="266"/>
    </row>
    <row r="6" spans="1:16" s="11" customFormat="1" ht="18" thickBot="1" x14ac:dyDescent="0.55000000000000004">
      <c r="B6" s="267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136</v>
      </c>
      <c r="D7" s="41">
        <f>SUM(D11:D31)</f>
        <v>0</v>
      </c>
      <c r="E7" s="41">
        <f t="shared" ref="E7:I7" si="0">SUM(E11:E31)</f>
        <v>0</v>
      </c>
      <c r="F7" s="41">
        <f t="shared" si="0"/>
        <v>4</v>
      </c>
      <c r="G7" s="41">
        <f t="shared" si="0"/>
        <v>3</v>
      </c>
      <c r="H7" s="41">
        <f t="shared" si="0"/>
        <v>2</v>
      </c>
      <c r="I7" s="41">
        <f t="shared" si="0"/>
        <v>1</v>
      </c>
      <c r="J7" s="10"/>
      <c r="K7" s="41">
        <f>SUM(K11:K31)</f>
        <v>9</v>
      </c>
      <c r="L7" s="41">
        <f t="shared" ref="L7:P7" si="1">SUM(L11:L31)</f>
        <v>0</v>
      </c>
      <c r="M7" s="41">
        <f t="shared" si="1"/>
        <v>0</v>
      </c>
      <c r="N7" s="41">
        <f t="shared" si="1"/>
        <v>1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6" t="s">
        <v>226</v>
      </c>
      <c r="D9" s="266"/>
      <c r="E9" s="266"/>
      <c r="F9" s="266"/>
      <c r="G9" s="266"/>
      <c r="H9" s="266"/>
      <c r="I9" s="40"/>
      <c r="K9" s="266" t="s">
        <v>227</v>
      </c>
      <c r="L9" s="266"/>
      <c r="M9" s="266"/>
      <c r="N9" s="266"/>
      <c r="O9" s="266"/>
      <c r="P9" s="266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8" customFormat="1" ht="18" thickBot="1" x14ac:dyDescent="0.55000000000000004">
      <c r="B11" s="12" t="s">
        <v>284</v>
      </c>
      <c r="C11" s="71">
        <v>0</v>
      </c>
      <c r="D11" s="177">
        <v>0</v>
      </c>
      <c r="E11" s="177">
        <v>0</v>
      </c>
      <c r="F11" s="177">
        <v>2</v>
      </c>
      <c r="G11" s="177">
        <v>1</v>
      </c>
      <c r="H11" s="177">
        <v>2</v>
      </c>
      <c r="I11" s="177">
        <v>1</v>
      </c>
      <c r="K11" s="177">
        <v>3</v>
      </c>
      <c r="L11" s="177">
        <v>0</v>
      </c>
      <c r="M11" s="177">
        <v>0</v>
      </c>
      <c r="N11" s="177">
        <v>0</v>
      </c>
      <c r="O11" s="177">
        <v>0</v>
      </c>
      <c r="P11" s="177">
        <v>0</v>
      </c>
    </row>
    <row r="12" spans="1:16" s="17" customFormat="1" ht="18" thickBot="1" x14ac:dyDescent="0.55000000000000004">
      <c r="A12" s="33"/>
      <c r="B12" s="12" t="s">
        <v>249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272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273</v>
      </c>
      <c r="C14" s="71">
        <v>6</v>
      </c>
      <c r="D14" s="177">
        <v>0</v>
      </c>
      <c r="E14" s="177">
        <v>0</v>
      </c>
      <c r="F14" s="177">
        <v>0</v>
      </c>
      <c r="G14" s="177">
        <v>0</v>
      </c>
      <c r="H14" s="177">
        <v>0</v>
      </c>
      <c r="I14" s="177">
        <v>0</v>
      </c>
      <c r="J14" s="178" t="s">
        <v>9</v>
      </c>
      <c r="K14" s="177">
        <v>0</v>
      </c>
      <c r="L14" s="177">
        <v>0</v>
      </c>
      <c r="M14" s="177">
        <v>0</v>
      </c>
      <c r="N14" s="177">
        <v>0</v>
      </c>
      <c r="O14" s="177">
        <v>0</v>
      </c>
      <c r="P14" s="177">
        <v>0</v>
      </c>
    </row>
    <row r="15" spans="1:16" s="30" customFormat="1" ht="18" thickBot="1" x14ac:dyDescent="0.55000000000000004">
      <c r="A15" s="33"/>
      <c r="B15" s="12" t="s">
        <v>274</v>
      </c>
      <c r="C15" s="71">
        <v>2</v>
      </c>
      <c r="D15" s="177">
        <v>0</v>
      </c>
      <c r="E15" s="177">
        <v>0</v>
      </c>
      <c r="F15" s="177">
        <v>0</v>
      </c>
      <c r="G15" s="177">
        <v>0</v>
      </c>
      <c r="H15" s="177">
        <v>0</v>
      </c>
      <c r="I15" s="177">
        <v>0</v>
      </c>
      <c r="J15" s="178" t="s">
        <v>9</v>
      </c>
      <c r="K15" s="177">
        <v>0</v>
      </c>
      <c r="L15" s="177">
        <v>0</v>
      </c>
      <c r="M15" s="177">
        <v>0</v>
      </c>
      <c r="N15" s="177">
        <v>0</v>
      </c>
      <c r="O15" s="177">
        <v>0</v>
      </c>
      <c r="P15" s="177">
        <v>0</v>
      </c>
    </row>
    <row r="16" spans="1:16" s="30" customFormat="1" ht="18" thickBot="1" x14ac:dyDescent="0.55000000000000004">
      <c r="A16" s="33"/>
      <c r="B16" s="12" t="s">
        <v>275</v>
      </c>
      <c r="C16" s="71">
        <v>18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0</v>
      </c>
      <c r="J16" s="178" t="s">
        <v>9</v>
      </c>
      <c r="K16" s="177">
        <v>0</v>
      </c>
      <c r="L16" s="177">
        <v>0</v>
      </c>
      <c r="M16" s="177">
        <v>0</v>
      </c>
      <c r="N16" s="177">
        <v>0</v>
      </c>
      <c r="O16" s="177">
        <v>0</v>
      </c>
      <c r="P16" s="177">
        <v>0</v>
      </c>
    </row>
    <row r="17" spans="1:16" s="30" customFormat="1" ht="18" thickBot="1" x14ac:dyDescent="0.55000000000000004">
      <c r="A17" s="33"/>
      <c r="B17" s="12" t="s">
        <v>276</v>
      </c>
      <c r="C17" s="71">
        <v>10</v>
      </c>
      <c r="D17" s="177">
        <v>0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8" t="s">
        <v>9</v>
      </c>
      <c r="K17" s="177">
        <v>0</v>
      </c>
      <c r="L17" s="177">
        <v>0</v>
      </c>
      <c r="M17" s="177">
        <v>0</v>
      </c>
      <c r="N17" s="177">
        <v>0</v>
      </c>
      <c r="O17" s="177">
        <v>0</v>
      </c>
      <c r="P17" s="177">
        <v>0</v>
      </c>
    </row>
    <row r="18" spans="1:16" s="30" customFormat="1" ht="18" thickBot="1" x14ac:dyDescent="0.55000000000000004">
      <c r="A18" s="33"/>
      <c r="B18" s="12" t="s">
        <v>277</v>
      </c>
      <c r="C18" s="71">
        <v>44</v>
      </c>
      <c r="D18" s="177">
        <v>0</v>
      </c>
      <c r="E18" s="177">
        <v>0</v>
      </c>
      <c r="F18" s="177">
        <v>1</v>
      </c>
      <c r="G18" s="177">
        <v>0</v>
      </c>
      <c r="H18" s="177">
        <v>0</v>
      </c>
      <c r="I18" s="177">
        <v>0</v>
      </c>
      <c r="J18" s="178" t="s">
        <v>9</v>
      </c>
      <c r="K18" s="177">
        <v>2</v>
      </c>
      <c r="L18" s="177">
        <v>0</v>
      </c>
      <c r="M18" s="177">
        <v>0</v>
      </c>
      <c r="N18" s="177">
        <v>1</v>
      </c>
      <c r="O18" s="177">
        <v>0</v>
      </c>
      <c r="P18" s="177">
        <v>0</v>
      </c>
    </row>
    <row r="19" spans="1:16" s="30" customFormat="1" ht="18" thickBot="1" x14ac:dyDescent="0.55000000000000004">
      <c r="A19" s="33"/>
      <c r="B19" s="12" t="s">
        <v>278</v>
      </c>
      <c r="C19" s="71">
        <v>4</v>
      </c>
      <c r="D19" s="177">
        <v>0</v>
      </c>
      <c r="E19" s="177">
        <v>0</v>
      </c>
      <c r="F19" s="177">
        <v>0</v>
      </c>
      <c r="G19" s="177">
        <v>0</v>
      </c>
      <c r="H19" s="177">
        <v>0</v>
      </c>
      <c r="I19" s="177">
        <v>0</v>
      </c>
      <c r="J19" s="178" t="s">
        <v>9</v>
      </c>
      <c r="K19" s="177">
        <v>0</v>
      </c>
      <c r="L19" s="177">
        <v>0</v>
      </c>
      <c r="M19" s="177">
        <v>0</v>
      </c>
      <c r="N19" s="177">
        <v>0</v>
      </c>
      <c r="O19" s="177">
        <v>0</v>
      </c>
      <c r="P19" s="177">
        <v>0</v>
      </c>
    </row>
    <row r="20" spans="1:16" s="30" customFormat="1" ht="18" thickBot="1" x14ac:dyDescent="0.55000000000000004">
      <c r="A20" s="33"/>
      <c r="B20" s="12" t="s">
        <v>279</v>
      </c>
      <c r="C20" s="71">
        <v>4</v>
      </c>
      <c r="D20" s="177">
        <v>0</v>
      </c>
      <c r="E20" s="177">
        <v>0</v>
      </c>
      <c r="F20" s="177">
        <v>0</v>
      </c>
      <c r="G20" s="177">
        <v>0</v>
      </c>
      <c r="H20" s="177">
        <v>0</v>
      </c>
      <c r="I20" s="177">
        <v>0</v>
      </c>
      <c r="J20" s="178" t="s">
        <v>9</v>
      </c>
      <c r="K20" s="177">
        <v>0</v>
      </c>
      <c r="L20" s="177">
        <v>0</v>
      </c>
      <c r="M20" s="177">
        <v>0</v>
      </c>
      <c r="N20" s="177">
        <v>0</v>
      </c>
      <c r="O20" s="177">
        <v>0</v>
      </c>
      <c r="P20" s="177">
        <v>0</v>
      </c>
    </row>
    <row r="21" spans="1:16" s="30" customFormat="1" ht="18" thickBot="1" x14ac:dyDescent="0.55000000000000004">
      <c r="A21" s="33"/>
      <c r="B21" s="12" t="s">
        <v>280</v>
      </c>
      <c r="C21" s="71">
        <v>8</v>
      </c>
      <c r="D21" s="177">
        <v>0</v>
      </c>
      <c r="E21" s="177">
        <v>0</v>
      </c>
      <c r="F21" s="177">
        <v>0</v>
      </c>
      <c r="G21" s="177">
        <v>0</v>
      </c>
      <c r="H21" s="177">
        <v>0</v>
      </c>
      <c r="I21" s="177">
        <v>0</v>
      </c>
      <c r="J21" s="178" t="s">
        <v>9</v>
      </c>
      <c r="K21" s="177">
        <v>1</v>
      </c>
      <c r="L21" s="177">
        <v>0</v>
      </c>
      <c r="M21" s="177">
        <v>0</v>
      </c>
      <c r="N21" s="177">
        <v>0</v>
      </c>
      <c r="O21" s="177">
        <v>0</v>
      </c>
      <c r="P21" s="177">
        <v>0</v>
      </c>
    </row>
    <row r="22" spans="1:16" s="33" customFormat="1" ht="18" thickBot="1" x14ac:dyDescent="0.55000000000000004">
      <c r="B22" s="12" t="s">
        <v>253</v>
      </c>
      <c r="C22" s="71">
        <v>10</v>
      </c>
      <c r="D22" s="177">
        <v>0</v>
      </c>
      <c r="E22" s="177">
        <v>0</v>
      </c>
      <c r="F22" s="177">
        <v>0</v>
      </c>
      <c r="G22" s="177">
        <v>1</v>
      </c>
      <c r="H22" s="177">
        <v>0</v>
      </c>
      <c r="I22" s="177">
        <v>0</v>
      </c>
      <c r="J22" s="178" t="s">
        <v>9</v>
      </c>
      <c r="K22" s="177">
        <v>1</v>
      </c>
      <c r="L22" s="177">
        <v>0</v>
      </c>
      <c r="M22" s="177">
        <v>0</v>
      </c>
      <c r="N22" s="177">
        <v>0</v>
      </c>
      <c r="O22" s="177">
        <v>0</v>
      </c>
      <c r="P22" s="177">
        <v>0</v>
      </c>
    </row>
    <row r="23" spans="1:16" s="33" customFormat="1" ht="18" thickBot="1" x14ac:dyDescent="0.55000000000000004">
      <c r="B23" s="12" t="s">
        <v>251</v>
      </c>
      <c r="C23" s="71">
        <v>5</v>
      </c>
      <c r="D23" s="177">
        <v>0</v>
      </c>
      <c r="E23" s="177">
        <v>0</v>
      </c>
      <c r="F23" s="177">
        <v>0</v>
      </c>
      <c r="G23" s="177">
        <v>0</v>
      </c>
      <c r="H23" s="177">
        <v>0</v>
      </c>
      <c r="I23" s="177">
        <v>0</v>
      </c>
      <c r="J23" s="178" t="s">
        <v>9</v>
      </c>
      <c r="K23" s="177">
        <v>0</v>
      </c>
      <c r="L23" s="177">
        <v>0</v>
      </c>
      <c r="M23" s="177">
        <v>0</v>
      </c>
      <c r="N23" s="177">
        <v>0</v>
      </c>
      <c r="O23" s="177">
        <v>0</v>
      </c>
      <c r="P23" s="177">
        <v>0</v>
      </c>
    </row>
    <row r="24" spans="1:16" s="33" customFormat="1" ht="18" thickBot="1" x14ac:dyDescent="0.55000000000000004">
      <c r="B24" s="12" t="s">
        <v>281</v>
      </c>
      <c r="C24" s="71">
        <v>0</v>
      </c>
      <c r="D24" s="177">
        <v>0</v>
      </c>
      <c r="E24" s="177">
        <v>0</v>
      </c>
      <c r="F24" s="177">
        <v>0</v>
      </c>
      <c r="G24" s="177">
        <v>0</v>
      </c>
      <c r="H24" s="177">
        <v>0</v>
      </c>
      <c r="I24" s="177">
        <v>0</v>
      </c>
      <c r="J24" s="178" t="s">
        <v>9</v>
      </c>
      <c r="K24" s="177">
        <v>0</v>
      </c>
      <c r="L24" s="177">
        <v>0</v>
      </c>
      <c r="M24" s="177">
        <v>0</v>
      </c>
      <c r="N24" s="177">
        <v>0</v>
      </c>
      <c r="O24" s="177">
        <v>0</v>
      </c>
      <c r="P24" s="177">
        <v>0</v>
      </c>
    </row>
    <row r="25" spans="1:16" s="33" customFormat="1" ht="18" thickBot="1" x14ac:dyDescent="0.55000000000000004">
      <c r="B25" s="12" t="s">
        <v>282</v>
      </c>
      <c r="C25" s="71">
        <v>0</v>
      </c>
      <c r="D25" s="177">
        <v>0</v>
      </c>
      <c r="E25" s="177">
        <v>0</v>
      </c>
      <c r="F25" s="177">
        <v>0</v>
      </c>
      <c r="G25" s="177">
        <v>0</v>
      </c>
      <c r="H25" s="177">
        <v>0</v>
      </c>
      <c r="I25" s="177">
        <v>0</v>
      </c>
      <c r="J25" s="178" t="s">
        <v>9</v>
      </c>
      <c r="K25" s="177">
        <v>0</v>
      </c>
      <c r="L25" s="177">
        <v>0</v>
      </c>
      <c r="M25" s="177">
        <v>0</v>
      </c>
      <c r="N25" s="177">
        <v>0</v>
      </c>
      <c r="O25" s="177">
        <v>0</v>
      </c>
      <c r="P25" s="177">
        <v>0</v>
      </c>
    </row>
    <row r="26" spans="1:16" s="33" customFormat="1" ht="18" thickBot="1" x14ac:dyDescent="0.55000000000000004">
      <c r="B26" s="12" t="s">
        <v>283</v>
      </c>
      <c r="C26" s="71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0</v>
      </c>
      <c r="I26" s="177">
        <v>0</v>
      </c>
      <c r="J26" s="178" t="s">
        <v>9</v>
      </c>
      <c r="K26" s="177">
        <v>0</v>
      </c>
      <c r="L26" s="177">
        <v>0</v>
      </c>
      <c r="M26" s="177">
        <v>0</v>
      </c>
      <c r="N26" s="177">
        <v>0</v>
      </c>
      <c r="O26" s="177">
        <v>0</v>
      </c>
      <c r="P26" s="177">
        <v>0</v>
      </c>
    </row>
    <row r="27" spans="1:16" s="33" customFormat="1" ht="18" thickBot="1" x14ac:dyDescent="0.55000000000000004">
      <c r="B27" s="12"/>
      <c r="C27" s="71">
        <v>0</v>
      </c>
      <c r="D27" s="177">
        <v>0</v>
      </c>
      <c r="E27" s="177">
        <v>0</v>
      </c>
      <c r="F27" s="177">
        <v>0</v>
      </c>
      <c r="G27" s="177">
        <v>0</v>
      </c>
      <c r="H27" s="177">
        <v>0</v>
      </c>
      <c r="I27" s="177">
        <v>0</v>
      </c>
      <c r="J27" s="178" t="s">
        <v>9</v>
      </c>
      <c r="K27" s="177">
        <v>0</v>
      </c>
      <c r="L27" s="177">
        <v>0</v>
      </c>
      <c r="M27" s="177">
        <v>0</v>
      </c>
      <c r="N27" s="177">
        <v>0</v>
      </c>
      <c r="O27" s="177">
        <v>0</v>
      </c>
      <c r="P27" s="177">
        <v>0</v>
      </c>
    </row>
    <row r="28" spans="1:16" s="33" customFormat="1" ht="18" thickBot="1" x14ac:dyDescent="0.55000000000000004">
      <c r="B28" s="12"/>
      <c r="C28" s="71">
        <v>0</v>
      </c>
      <c r="D28" s="177">
        <v>0</v>
      </c>
      <c r="E28" s="177">
        <v>0</v>
      </c>
      <c r="F28" s="177">
        <v>0</v>
      </c>
      <c r="G28" s="177">
        <v>0</v>
      </c>
      <c r="H28" s="177">
        <v>0</v>
      </c>
      <c r="I28" s="177">
        <v>0</v>
      </c>
      <c r="J28" s="178" t="s">
        <v>9</v>
      </c>
      <c r="K28" s="177">
        <v>0</v>
      </c>
      <c r="L28" s="177">
        <v>0</v>
      </c>
      <c r="M28" s="177">
        <v>0</v>
      </c>
      <c r="N28" s="177">
        <v>0</v>
      </c>
      <c r="O28" s="177">
        <v>0</v>
      </c>
      <c r="P28" s="177">
        <v>0</v>
      </c>
    </row>
    <row r="29" spans="1:16" s="33" customFormat="1" ht="18" thickBot="1" x14ac:dyDescent="0.55000000000000004">
      <c r="B29" s="12"/>
      <c r="C29" s="71">
        <v>0</v>
      </c>
      <c r="D29" s="177">
        <v>0</v>
      </c>
      <c r="E29" s="177">
        <v>0</v>
      </c>
      <c r="F29" s="177">
        <v>0</v>
      </c>
      <c r="G29" s="177">
        <v>0</v>
      </c>
      <c r="H29" s="177">
        <v>0</v>
      </c>
      <c r="I29" s="177">
        <v>0</v>
      </c>
      <c r="J29" s="178" t="s">
        <v>9</v>
      </c>
      <c r="K29" s="177">
        <v>0</v>
      </c>
      <c r="L29" s="177">
        <v>0</v>
      </c>
      <c r="M29" s="177">
        <v>0</v>
      </c>
      <c r="N29" s="177">
        <v>0</v>
      </c>
      <c r="O29" s="177">
        <v>0</v>
      </c>
      <c r="P29" s="177">
        <v>0</v>
      </c>
    </row>
    <row r="30" spans="1:16" s="33" customFormat="1" ht="18" thickBot="1" x14ac:dyDescent="0.55000000000000004">
      <c r="B30" s="12"/>
      <c r="C30" s="71">
        <v>0</v>
      </c>
      <c r="D30" s="177">
        <v>0</v>
      </c>
      <c r="E30" s="177">
        <v>0</v>
      </c>
      <c r="F30" s="177">
        <v>0</v>
      </c>
      <c r="G30" s="177">
        <v>0</v>
      </c>
      <c r="H30" s="177">
        <v>0</v>
      </c>
      <c r="I30" s="177">
        <v>0</v>
      </c>
      <c r="J30" s="178" t="s">
        <v>9</v>
      </c>
      <c r="K30" s="177">
        <v>0</v>
      </c>
      <c r="L30" s="177">
        <v>0</v>
      </c>
      <c r="M30" s="177">
        <v>0</v>
      </c>
      <c r="N30" s="177">
        <v>0</v>
      </c>
      <c r="O30" s="177">
        <v>0</v>
      </c>
      <c r="P30" s="177">
        <v>0</v>
      </c>
    </row>
    <row r="31" spans="1:16" s="33" customFormat="1" ht="18" thickBot="1" x14ac:dyDescent="0.55000000000000004">
      <c r="B31" s="12"/>
      <c r="C31" s="71">
        <v>0</v>
      </c>
      <c r="D31" s="177">
        <v>0</v>
      </c>
      <c r="E31" s="177">
        <v>0</v>
      </c>
      <c r="F31" s="177">
        <v>0</v>
      </c>
      <c r="G31" s="177">
        <v>0</v>
      </c>
      <c r="H31" s="177">
        <v>0</v>
      </c>
      <c r="I31" s="177">
        <v>0</v>
      </c>
      <c r="J31" s="178" t="s">
        <v>9</v>
      </c>
      <c r="K31" s="177">
        <v>0</v>
      </c>
      <c r="L31" s="177">
        <v>0</v>
      </c>
      <c r="M31" s="177">
        <v>0</v>
      </c>
      <c r="N31" s="177">
        <v>0</v>
      </c>
      <c r="O31" s="177">
        <v>0</v>
      </c>
      <c r="P31" s="177">
        <v>0</v>
      </c>
    </row>
    <row r="32" spans="1:16" s="33" customFormat="1" x14ac:dyDescent="0.5"/>
    <row r="33" spans="2:8" x14ac:dyDescent="0.5">
      <c r="D33" s="28"/>
    </row>
    <row r="34" spans="2:8" x14ac:dyDescent="0.5">
      <c r="B34" s="271" t="s">
        <v>236</v>
      </c>
      <c r="C34" s="272"/>
      <c r="D34" s="272"/>
      <c r="E34" s="272"/>
      <c r="F34" s="272"/>
      <c r="G34" s="273"/>
      <c r="H34" s="28"/>
    </row>
    <row r="35" spans="2:8" x14ac:dyDescent="0.5">
      <c r="B35" s="42" t="s">
        <v>183</v>
      </c>
      <c r="C35" s="42" t="s">
        <v>216</v>
      </c>
      <c r="D35" s="42" t="s">
        <v>228</v>
      </c>
      <c r="E35" s="153" t="s">
        <v>120</v>
      </c>
      <c r="F35" s="154" t="s">
        <v>10</v>
      </c>
      <c r="G35" s="42" t="s">
        <v>125</v>
      </c>
    </row>
    <row r="36" spans="2:8" x14ac:dyDescent="0.5">
      <c r="B36" s="42" t="str">
        <f>_xlfn.CONCAT(D36," en ",C36)</f>
        <v>Exótico 1 en Indochina</v>
      </c>
      <c r="C36" s="42" t="s">
        <v>249</v>
      </c>
      <c r="D36" s="42" t="s">
        <v>285</v>
      </c>
      <c r="E36" s="72">
        <v>60</v>
      </c>
      <c r="F36" s="155">
        <v>0</v>
      </c>
      <c r="G36" s="42" t="s">
        <v>13</v>
      </c>
    </row>
    <row r="37" spans="2:8" x14ac:dyDescent="0.5">
      <c r="B37" s="42" t="str">
        <f t="shared" ref="B37:B44" si="2">_xlfn.CONCAT(D37," en ",C37)</f>
        <v>Exótico 2 en Indochina</v>
      </c>
      <c r="C37" s="42" t="s">
        <v>249</v>
      </c>
      <c r="D37" s="42" t="s">
        <v>286</v>
      </c>
      <c r="E37" s="72">
        <v>60</v>
      </c>
      <c r="F37" s="155">
        <v>0</v>
      </c>
      <c r="G37" s="42" t="s">
        <v>13</v>
      </c>
    </row>
    <row r="38" spans="2:8" s="176" customFormat="1" x14ac:dyDescent="0.5">
      <c r="B38" s="42" t="str">
        <f t="shared" si="2"/>
        <v>Materia Prima en Algeria</v>
      </c>
      <c r="C38" s="42" t="s">
        <v>275</v>
      </c>
      <c r="D38" s="42" t="s">
        <v>287</v>
      </c>
      <c r="E38" s="72">
        <v>70</v>
      </c>
      <c r="F38" s="155">
        <v>0</v>
      </c>
      <c r="G38" s="42" t="s">
        <v>13</v>
      </c>
    </row>
    <row r="39" spans="2:8" s="176" customFormat="1" x14ac:dyDescent="0.5">
      <c r="B39" s="42" t="str">
        <f t="shared" si="2"/>
        <v>Exótico en Senegal</v>
      </c>
      <c r="C39" s="42" t="s">
        <v>277</v>
      </c>
      <c r="D39" s="42" t="s">
        <v>288</v>
      </c>
      <c r="E39" s="72">
        <v>70</v>
      </c>
      <c r="F39" s="155">
        <v>0</v>
      </c>
      <c r="G39" s="42" t="s">
        <v>13</v>
      </c>
    </row>
    <row r="40" spans="2:8" s="176" customFormat="1" x14ac:dyDescent="0.5">
      <c r="B40" s="42" t="str">
        <f t="shared" si="2"/>
        <v>Exótico en Costa Marfil</v>
      </c>
      <c r="C40" s="42" t="s">
        <v>289</v>
      </c>
      <c r="D40" s="42" t="s">
        <v>288</v>
      </c>
      <c r="E40" s="72">
        <v>65</v>
      </c>
      <c r="F40" s="155">
        <v>0</v>
      </c>
      <c r="G40" s="42" t="s">
        <v>13</v>
      </c>
    </row>
    <row r="41" spans="2:8" s="182" customFormat="1" x14ac:dyDescent="0.5">
      <c r="B41" s="42" t="str">
        <f t="shared" si="2"/>
        <v>Carbón en Senegal</v>
      </c>
      <c r="C41" s="42" t="s">
        <v>277</v>
      </c>
      <c r="D41" s="42" t="s">
        <v>98</v>
      </c>
      <c r="E41" s="72">
        <v>70</v>
      </c>
      <c r="F41" s="155">
        <v>0</v>
      </c>
      <c r="G41" s="42" t="s">
        <v>13</v>
      </c>
    </row>
    <row r="42" spans="2:8" s="186" customFormat="1" x14ac:dyDescent="0.5">
      <c r="B42" s="42" t="str">
        <f t="shared" si="2"/>
        <v>Materia Prima en Tombuctú</v>
      </c>
      <c r="C42" s="42" t="s">
        <v>299</v>
      </c>
      <c r="D42" s="42" t="s">
        <v>287</v>
      </c>
      <c r="E42" s="72">
        <v>70</v>
      </c>
      <c r="F42" s="155">
        <v>0</v>
      </c>
      <c r="G42" s="42" t="s">
        <v>123</v>
      </c>
    </row>
    <row r="43" spans="2:8" s="191" customFormat="1" x14ac:dyDescent="0.5">
      <c r="B43" s="42" t="str">
        <f t="shared" si="2"/>
        <v>Industria en Bégica</v>
      </c>
      <c r="C43" s="42" t="s">
        <v>302</v>
      </c>
      <c r="D43" s="42" t="s">
        <v>138</v>
      </c>
      <c r="E43" s="72">
        <v>60</v>
      </c>
      <c r="F43" s="155">
        <v>0.33</v>
      </c>
      <c r="G43" s="42" t="s">
        <v>13</v>
      </c>
    </row>
    <row r="44" spans="2:8" s="176" customFormat="1" x14ac:dyDescent="0.5">
      <c r="B44" s="42" t="str">
        <f t="shared" si="2"/>
        <v>Exótico en Congo Francés</v>
      </c>
      <c r="C44" s="42" t="s">
        <v>253</v>
      </c>
      <c r="D44" s="42" t="s">
        <v>288</v>
      </c>
      <c r="E44" s="72">
        <v>75</v>
      </c>
      <c r="F44" s="155">
        <v>0</v>
      </c>
      <c r="G44" s="42" t="s">
        <v>13</v>
      </c>
    </row>
    <row r="45" spans="2:8" x14ac:dyDescent="0.5">
      <c r="D45" s="263"/>
      <c r="E45" s="263"/>
      <c r="F45" s="13"/>
      <c r="G45" s="28"/>
    </row>
    <row r="46" spans="2:8" x14ac:dyDescent="0.5">
      <c r="D46" s="263"/>
      <c r="E46" s="263"/>
      <c r="F46" s="13"/>
      <c r="G46" s="28"/>
    </row>
    <row r="47" spans="2:8" x14ac:dyDescent="0.5">
      <c r="D47" s="263"/>
      <c r="E47" s="263"/>
      <c r="F47" s="263"/>
      <c r="G47" s="14"/>
    </row>
    <row r="50" spans="4:17" x14ac:dyDescent="0.5">
      <c r="D50" s="263"/>
      <c r="E50" s="263"/>
      <c r="F50" s="263"/>
      <c r="G50" s="263"/>
      <c r="H50" s="263"/>
      <c r="I50" s="263"/>
      <c r="K50" s="263"/>
      <c r="L50" s="263"/>
      <c r="M50" s="263"/>
      <c r="N50" s="263"/>
      <c r="O50" s="263"/>
      <c r="P50" s="263"/>
    </row>
    <row r="54" spans="4:17" x14ac:dyDescent="0.5">
      <c r="D54" s="263"/>
      <c r="E54" s="263"/>
      <c r="F54" s="14"/>
      <c r="G54" s="28"/>
      <c r="I54" s="28"/>
    </row>
    <row r="55" spans="4:17" x14ac:dyDescent="0.5">
      <c r="D55" s="263"/>
      <c r="E55" s="263"/>
      <c r="F55" s="14"/>
      <c r="G55" s="28"/>
    </row>
    <row r="56" spans="4:17" x14ac:dyDescent="0.5">
      <c r="D56" s="263"/>
      <c r="E56" s="263"/>
      <c r="F56" s="14"/>
      <c r="G56" s="28"/>
    </row>
    <row r="57" spans="4:17" x14ac:dyDescent="0.5">
      <c r="D57" s="263"/>
      <c r="E57" s="263"/>
      <c r="F57" s="14"/>
      <c r="G57" s="28"/>
    </row>
    <row r="58" spans="4:17" x14ac:dyDescent="0.5">
      <c r="D58" s="263"/>
      <c r="E58" s="263"/>
      <c r="F58" s="13"/>
      <c r="G58" s="28"/>
      <c r="I58" s="28"/>
    </row>
    <row r="59" spans="4:17" x14ac:dyDescent="0.5">
      <c r="D59" s="263"/>
      <c r="E59" s="263"/>
      <c r="F59" s="13"/>
      <c r="G59" s="28"/>
    </row>
    <row r="60" spans="4:17" x14ac:dyDescent="0.5">
      <c r="D60" s="263"/>
      <c r="E60" s="263"/>
      <c r="F60" s="263"/>
      <c r="G60" s="14"/>
    </row>
    <row r="61" spans="4:17" x14ac:dyDescent="0.5">
      <c r="D61" s="28"/>
      <c r="G61" s="14"/>
      <c r="H61" s="28"/>
    </row>
    <row r="62" spans="4:17" ht="17.649999999999999" customHeight="1" x14ac:dyDescent="0.5">
      <c r="Q62" s="32"/>
    </row>
    <row r="63" spans="4:17" x14ac:dyDescent="0.5"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</row>
    <row r="64" spans="4:17" x14ac:dyDescent="0.5"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</row>
    <row r="66" spans="2:17" x14ac:dyDescent="0.5">
      <c r="B66" s="28"/>
      <c r="E66" s="28"/>
    </row>
    <row r="67" spans="2:17" x14ac:dyDescent="0.5">
      <c r="C67" s="28"/>
    </row>
    <row r="68" spans="2:17" x14ac:dyDescent="0.5">
      <c r="D68" s="263"/>
      <c r="E68" s="263"/>
      <c r="F68" s="263"/>
      <c r="G68" s="263"/>
      <c r="H68" s="263"/>
      <c r="I68" s="263"/>
      <c r="K68" s="263"/>
      <c r="L68" s="263"/>
      <c r="M68" s="263"/>
      <c r="N68" s="263"/>
      <c r="O68" s="263"/>
      <c r="P68" s="263"/>
    </row>
    <row r="71" spans="2:17" x14ac:dyDescent="0.5">
      <c r="D71" s="28"/>
    </row>
    <row r="72" spans="2:17" x14ac:dyDescent="0.5">
      <c r="D72" s="263"/>
      <c r="E72" s="263"/>
      <c r="F72" s="14"/>
      <c r="G72" s="28"/>
    </row>
    <row r="73" spans="2:17" x14ac:dyDescent="0.5">
      <c r="D73" s="263"/>
      <c r="E73" s="263"/>
      <c r="F73" s="14"/>
    </row>
    <row r="74" spans="2:17" x14ac:dyDescent="0.5">
      <c r="D74" s="263"/>
      <c r="E74" s="263"/>
      <c r="F74" s="13"/>
    </row>
    <row r="75" spans="2:17" x14ac:dyDescent="0.5">
      <c r="D75" s="263"/>
      <c r="E75" s="263"/>
      <c r="F75" s="13"/>
    </row>
    <row r="76" spans="2:17" x14ac:dyDescent="0.5">
      <c r="D76" s="263"/>
      <c r="E76" s="263"/>
      <c r="F76" s="263"/>
      <c r="G76" s="14"/>
    </row>
    <row r="77" spans="2:17" ht="17.649999999999999" customHeight="1" x14ac:dyDescent="0.5">
      <c r="Q77" s="34"/>
    </row>
    <row r="78" spans="2:17" x14ac:dyDescent="0.5"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2:17" x14ac:dyDescent="0.5"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</row>
    <row r="82" spans="4:16" x14ac:dyDescent="0.5">
      <c r="E82" s="14"/>
    </row>
    <row r="83" spans="4:16" x14ac:dyDescent="0.5">
      <c r="D83" s="263"/>
      <c r="E83" s="263"/>
      <c r="F83" s="263"/>
      <c r="G83" s="263"/>
      <c r="H83" s="263"/>
      <c r="I83" s="263"/>
      <c r="K83" s="263"/>
      <c r="L83" s="263"/>
      <c r="M83" s="263"/>
      <c r="N83" s="263"/>
      <c r="O83" s="263"/>
      <c r="P83" s="263"/>
    </row>
    <row r="87" spans="4:16" x14ac:dyDescent="0.5">
      <c r="D87" s="263"/>
      <c r="E87" s="263"/>
    </row>
    <row r="88" spans="4:16" x14ac:dyDescent="0.5">
      <c r="D88" s="263"/>
      <c r="E88" s="263"/>
      <c r="F88" s="14"/>
    </row>
    <row r="91" spans="4:16" x14ac:dyDescent="0.5">
      <c r="E91" s="14"/>
      <c r="F91" s="28"/>
      <c r="J91" s="28"/>
    </row>
    <row r="92" spans="4:16" x14ac:dyDescent="0.5">
      <c r="D92" s="263"/>
      <c r="E92" s="263"/>
      <c r="F92" s="263"/>
      <c r="G92" s="263"/>
      <c r="H92" s="263"/>
      <c r="I92" s="263"/>
      <c r="K92" s="263"/>
      <c r="L92" s="263"/>
      <c r="M92" s="263"/>
      <c r="N92" s="263"/>
      <c r="O92" s="263"/>
      <c r="P92" s="263"/>
    </row>
    <row r="96" spans="4:16" x14ac:dyDescent="0.5">
      <c r="D96" s="263"/>
      <c r="E96" s="263"/>
      <c r="F96" s="14"/>
      <c r="H96" s="28"/>
    </row>
    <row r="97" spans="2:17" x14ac:dyDescent="0.5">
      <c r="D97" s="263"/>
      <c r="E97" s="263"/>
      <c r="F97" s="14"/>
    </row>
    <row r="98" spans="2:17" x14ac:dyDescent="0.5">
      <c r="D98" s="263"/>
      <c r="E98" s="263"/>
      <c r="F98" s="13"/>
    </row>
    <row r="99" spans="2:17" x14ac:dyDescent="0.5">
      <c r="D99" s="263"/>
      <c r="E99" s="263"/>
      <c r="F99" s="263"/>
      <c r="G99" s="14"/>
    </row>
    <row r="100" spans="2:17" ht="18.75" customHeight="1" x14ac:dyDescent="0.5"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2:17" x14ac:dyDescent="0.5"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</row>
    <row r="105" spans="2:17" x14ac:dyDescent="0.5">
      <c r="B105" s="28"/>
    </row>
    <row r="106" spans="2:17" x14ac:dyDescent="0.5">
      <c r="C106" s="28"/>
      <c r="I106" s="14"/>
    </row>
    <row r="108" spans="2:17" x14ac:dyDescent="0.5">
      <c r="E108" s="14"/>
      <c r="F108" s="28"/>
    </row>
    <row r="110" spans="2:17" x14ac:dyDescent="0.5">
      <c r="D110" s="263"/>
      <c r="E110" s="263"/>
      <c r="F110" s="14"/>
    </row>
    <row r="112" spans="2:17" x14ac:dyDescent="0.5">
      <c r="E112" s="14"/>
    </row>
    <row r="115" spans="4:16" x14ac:dyDescent="0.5">
      <c r="E115" s="14"/>
      <c r="F115" s="28"/>
    </row>
    <row r="116" spans="4:16" x14ac:dyDescent="0.5">
      <c r="D116" s="28"/>
    </row>
    <row r="117" spans="4:16" x14ac:dyDescent="0.5">
      <c r="D117" s="263"/>
      <c r="E117" s="263"/>
      <c r="F117" s="14"/>
      <c r="G117" s="28"/>
      <c r="I117" s="28"/>
    </row>
    <row r="118" spans="4:16" x14ac:dyDescent="0.5">
      <c r="D118" s="263"/>
      <c r="E118" s="263"/>
      <c r="F118" s="14"/>
      <c r="G118" s="28"/>
    </row>
    <row r="119" spans="4:16" x14ac:dyDescent="0.5">
      <c r="D119" s="263"/>
      <c r="E119" s="263"/>
      <c r="F119" s="14"/>
      <c r="G119" s="28"/>
    </row>
    <row r="120" spans="4:16" x14ac:dyDescent="0.5">
      <c r="D120" s="263"/>
      <c r="E120" s="263"/>
      <c r="F120" s="14"/>
      <c r="G120" s="14"/>
      <c r="I120" s="28"/>
    </row>
    <row r="121" spans="4:16" x14ac:dyDescent="0.5">
      <c r="D121" s="264"/>
      <c r="E121" s="264"/>
      <c r="F121" s="264"/>
      <c r="G121" s="264"/>
      <c r="H121" s="264"/>
      <c r="I121" s="264"/>
      <c r="J121" s="264"/>
      <c r="K121" s="264"/>
      <c r="L121" s="264"/>
      <c r="M121" s="264"/>
      <c r="N121" s="264"/>
      <c r="O121" s="264"/>
      <c r="P121" s="264"/>
    </row>
    <row r="122" spans="4:16" x14ac:dyDescent="0.5">
      <c r="E122" s="14"/>
      <c r="F122" s="28"/>
    </row>
    <row r="123" spans="4:16" x14ac:dyDescent="0.5">
      <c r="D123" s="263"/>
      <c r="E123" s="263"/>
    </row>
    <row r="124" spans="4:16" x14ac:dyDescent="0.5">
      <c r="D124" s="263"/>
      <c r="E124" s="263"/>
      <c r="F124" s="14"/>
      <c r="H124" s="28"/>
    </row>
    <row r="125" spans="4:16" x14ac:dyDescent="0.5">
      <c r="D125" s="263"/>
      <c r="E125" s="263"/>
      <c r="F125" s="263"/>
      <c r="G125" s="263"/>
      <c r="H125" s="263"/>
      <c r="I125" s="263"/>
      <c r="K125" s="263"/>
      <c r="L125" s="263"/>
      <c r="M125" s="263"/>
      <c r="N125" s="263"/>
      <c r="O125" s="263"/>
      <c r="P125" s="263"/>
    </row>
    <row r="128" spans="4:16" x14ac:dyDescent="0.5">
      <c r="G128" s="14"/>
    </row>
    <row r="129" spans="2:7" x14ac:dyDescent="0.5">
      <c r="G129" s="14"/>
    </row>
    <row r="130" spans="2:7" x14ac:dyDescent="0.5">
      <c r="E130" s="14"/>
      <c r="G130" s="14"/>
    </row>
    <row r="132" spans="2:7" x14ac:dyDescent="0.5">
      <c r="E132" s="14"/>
    </row>
    <row r="134" spans="2:7" x14ac:dyDescent="0.5">
      <c r="G134" s="14"/>
    </row>
    <row r="137" spans="2:7" x14ac:dyDescent="0.5">
      <c r="E137" s="14"/>
    </row>
    <row r="138" spans="2:7" x14ac:dyDescent="0.5">
      <c r="D138" s="263"/>
      <c r="E138" s="263"/>
    </row>
    <row r="139" spans="2:7" x14ac:dyDescent="0.5">
      <c r="D139" s="263"/>
      <c r="E139" s="263"/>
      <c r="F139" s="14"/>
    </row>
    <row r="141" spans="2:7" x14ac:dyDescent="0.5">
      <c r="B141" s="36"/>
    </row>
    <row r="142" spans="2:7" x14ac:dyDescent="0.5">
      <c r="B142" s="36"/>
      <c r="C142" s="36"/>
      <c r="F142" s="36"/>
    </row>
    <row r="143" spans="2:7" x14ac:dyDescent="0.5">
      <c r="B143" s="36"/>
      <c r="C143" s="36"/>
    </row>
    <row r="144" spans="2:7" x14ac:dyDescent="0.5">
      <c r="B144" s="36"/>
      <c r="C144" s="36"/>
    </row>
    <row r="145" spans="2:16" x14ac:dyDescent="0.5">
      <c r="B145" s="36"/>
      <c r="C145" s="36"/>
    </row>
    <row r="146" spans="2:16" x14ac:dyDescent="0.5">
      <c r="C146" s="36"/>
    </row>
    <row r="149" spans="2:16" x14ac:dyDescent="0.5">
      <c r="D149" s="28"/>
      <c r="K149" s="28"/>
    </row>
    <row r="150" spans="2:16" x14ac:dyDescent="0.5">
      <c r="B150" s="37"/>
      <c r="D150" s="263"/>
      <c r="E150" s="263"/>
      <c r="F150" s="263"/>
      <c r="G150" s="263"/>
      <c r="H150" s="263"/>
      <c r="I150" s="263"/>
      <c r="K150" s="263"/>
      <c r="L150" s="263"/>
      <c r="M150" s="263"/>
      <c r="N150" s="263"/>
      <c r="O150" s="263"/>
      <c r="P150" s="263"/>
    </row>
    <row r="151" spans="2:16" x14ac:dyDescent="0.5">
      <c r="C151" s="37"/>
    </row>
    <row r="155" spans="2:16" x14ac:dyDescent="0.5">
      <c r="D155" s="263"/>
      <c r="E155" s="263"/>
      <c r="F155" s="263"/>
      <c r="G155" s="263"/>
      <c r="H155" s="263"/>
      <c r="I155" s="263"/>
      <c r="K155" s="263"/>
      <c r="L155" s="263"/>
      <c r="M155" s="263"/>
      <c r="N155" s="263"/>
      <c r="O155" s="263"/>
      <c r="P155" s="263"/>
    </row>
    <row r="158" spans="2:16" x14ac:dyDescent="0.5">
      <c r="B158" s="28"/>
    </row>
    <row r="159" spans="2:16" x14ac:dyDescent="0.5">
      <c r="C159" s="28"/>
      <c r="D159" s="28"/>
      <c r="F159" s="38"/>
    </row>
    <row r="161" spans="4:16" x14ac:dyDescent="0.5"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</row>
    <row r="162" spans="4:16" x14ac:dyDescent="0.5">
      <c r="D162" s="263"/>
      <c r="E162" s="263"/>
      <c r="F162" s="263"/>
      <c r="G162" s="263"/>
      <c r="H162" s="263"/>
      <c r="I162" s="263"/>
      <c r="K162" s="263"/>
      <c r="L162" s="263"/>
      <c r="M162" s="263"/>
      <c r="N162" s="263"/>
      <c r="O162" s="263"/>
      <c r="P162" s="263"/>
    </row>
    <row r="166" spans="4:16" x14ac:dyDescent="0.5">
      <c r="E166" s="14"/>
      <c r="F166" s="28"/>
    </row>
  </sheetData>
  <sheetProtection algorithmName="SHA-512" hashValue="B303QtjUkMuuLNeUSukJZT/J10DpAOre5cq1DizDQjcyAoUDWORjT94b1B8/BW0TG3IL/FYqPflDdtd+9t+6oQ==" saltValue="g2n+zeYa8kWSbDGRapsUyA==" spinCount="100000" sheet="1" objects="1" scenarios="1"/>
  <mergeCells count="54">
    <mergeCell ref="D162:I162"/>
    <mergeCell ref="K162:P162"/>
    <mergeCell ref="K125:P125"/>
    <mergeCell ref="D47:F47"/>
    <mergeCell ref="D50:I50"/>
    <mergeCell ref="K50:P50"/>
    <mergeCell ref="D54:E54"/>
    <mergeCell ref="K68:P68"/>
    <mergeCell ref="D72:E72"/>
    <mergeCell ref="D73:E73"/>
    <mergeCell ref="D74:E74"/>
    <mergeCell ref="D56:E56"/>
    <mergeCell ref="D110:E110"/>
    <mergeCell ref="D123:E123"/>
    <mergeCell ref="D117:E117"/>
    <mergeCell ref="D55:E55"/>
    <mergeCell ref="B1:P1"/>
    <mergeCell ref="K9:P9"/>
    <mergeCell ref="D46:E46"/>
    <mergeCell ref="B5:B6"/>
    <mergeCell ref="K5:P5"/>
    <mergeCell ref="D45:E45"/>
    <mergeCell ref="C5:I5"/>
    <mergeCell ref="C9:H9"/>
    <mergeCell ref="B34:G34"/>
    <mergeCell ref="D57:E57"/>
    <mergeCell ref="D75:E75"/>
    <mergeCell ref="D76:F76"/>
    <mergeCell ref="D58:E58"/>
    <mergeCell ref="D59:E59"/>
    <mergeCell ref="D60:F60"/>
    <mergeCell ref="D68:I68"/>
    <mergeCell ref="D83:I83"/>
    <mergeCell ref="D118:E118"/>
    <mergeCell ref="D121:P121"/>
    <mergeCell ref="D119:E119"/>
    <mergeCell ref="D120:E120"/>
    <mergeCell ref="K83:P83"/>
    <mergeCell ref="D88:E88"/>
    <mergeCell ref="D87:E87"/>
    <mergeCell ref="D99:F99"/>
    <mergeCell ref="D92:I92"/>
    <mergeCell ref="K92:P92"/>
    <mergeCell ref="D96:E96"/>
    <mergeCell ref="D97:E97"/>
    <mergeCell ref="D98:E98"/>
    <mergeCell ref="D138:E138"/>
    <mergeCell ref="D124:E124"/>
    <mergeCell ref="D125:I125"/>
    <mergeCell ref="D155:I155"/>
    <mergeCell ref="K155:P155"/>
    <mergeCell ref="D150:I150"/>
    <mergeCell ref="K150:P150"/>
    <mergeCell ref="D139:E13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4" max="4" width="10.9296875" bestFit="1" customWidth="1"/>
    <col min="5" max="5" width="10.9296875" style="26" customWidth="1"/>
    <col min="7" max="7" width="29.1328125" bestFit="1" customWidth="1"/>
  </cols>
  <sheetData>
    <row r="1" spans="1:9" x14ac:dyDescent="0.35">
      <c r="C1" s="74" t="s">
        <v>5</v>
      </c>
      <c r="D1" s="73">
        <f>SUM(D4:D46)</f>
        <v>0</v>
      </c>
      <c r="E1" s="188"/>
    </row>
    <row r="2" spans="1:9" s="26" customFormat="1" ht="13.15" thickBot="1" x14ac:dyDescent="0.4"/>
    <row r="3" spans="1:9" s="26" customFormat="1" x14ac:dyDescent="0.35">
      <c r="A3" s="277" t="s">
        <v>234</v>
      </c>
      <c r="B3" s="277"/>
      <c r="C3" s="277"/>
      <c r="D3" s="277"/>
      <c r="E3" s="277"/>
      <c r="G3" s="274" t="s">
        <v>235</v>
      </c>
      <c r="H3" s="275"/>
      <c r="I3" s="276"/>
    </row>
    <row r="4" spans="1:9" x14ac:dyDescent="0.35">
      <c r="A4" s="277" t="s">
        <v>229</v>
      </c>
      <c r="B4" s="277"/>
      <c r="C4" s="277"/>
      <c r="D4" s="189" t="s">
        <v>230</v>
      </c>
      <c r="E4" s="189"/>
      <c r="G4" s="77" t="s">
        <v>229</v>
      </c>
      <c r="H4" s="75" t="s">
        <v>120</v>
      </c>
      <c r="I4" s="78" t="s">
        <v>126</v>
      </c>
    </row>
    <row r="5" spans="1:9" x14ac:dyDescent="0.35">
      <c r="A5" s="277" t="s">
        <v>291</v>
      </c>
      <c r="B5" s="277"/>
      <c r="C5" s="277"/>
      <c r="D5" s="189" t="s">
        <v>293</v>
      </c>
      <c r="E5" s="189">
        <v>1891</v>
      </c>
      <c r="G5" s="77" t="s">
        <v>271</v>
      </c>
      <c r="H5" s="76">
        <v>40</v>
      </c>
      <c r="I5" s="78">
        <v>2</v>
      </c>
    </row>
    <row r="6" spans="1:9" x14ac:dyDescent="0.35">
      <c r="A6" s="277" t="s">
        <v>294</v>
      </c>
      <c r="B6" s="277"/>
      <c r="C6" s="277"/>
      <c r="D6" s="190" t="s">
        <v>298</v>
      </c>
      <c r="E6" s="190">
        <v>1895</v>
      </c>
      <c r="G6" s="77" t="s">
        <v>290</v>
      </c>
      <c r="H6" s="76">
        <v>40</v>
      </c>
      <c r="I6" s="78">
        <v>2</v>
      </c>
    </row>
    <row r="7" spans="1:9" x14ac:dyDescent="0.35">
      <c r="A7" s="277"/>
      <c r="B7" s="277"/>
      <c r="C7" s="277"/>
      <c r="D7" s="190"/>
      <c r="E7" s="190"/>
      <c r="G7" s="77"/>
      <c r="H7" s="76"/>
      <c r="I7" s="78"/>
    </row>
    <row r="8" spans="1:9" x14ac:dyDescent="0.35">
      <c r="A8" s="277"/>
      <c r="B8" s="277"/>
      <c r="C8" s="277"/>
      <c r="D8" s="190"/>
      <c r="E8" s="190"/>
      <c r="G8" s="77"/>
      <c r="H8" s="76"/>
      <c r="I8" s="78"/>
    </row>
    <row r="9" spans="1:9" x14ac:dyDescent="0.35">
      <c r="A9" s="277"/>
      <c r="B9" s="277"/>
      <c r="C9" s="277"/>
      <c r="D9" s="189"/>
      <c r="E9" s="189"/>
      <c r="G9" s="77"/>
      <c r="H9" s="76"/>
      <c r="I9" s="78"/>
    </row>
    <row r="10" spans="1:9" x14ac:dyDescent="0.35">
      <c r="A10" s="277"/>
      <c r="B10" s="277"/>
      <c r="C10" s="277"/>
      <c r="D10" s="190"/>
      <c r="E10" s="190"/>
      <c r="G10" s="77"/>
      <c r="H10" s="76"/>
      <c r="I10" s="78"/>
    </row>
    <row r="11" spans="1:9" x14ac:dyDescent="0.35">
      <c r="A11" s="277"/>
      <c r="B11" s="277"/>
      <c r="C11" s="277"/>
      <c r="D11" s="189"/>
      <c r="E11" s="189"/>
      <c r="G11" s="77"/>
      <c r="H11" s="76"/>
      <c r="I11" s="78"/>
    </row>
    <row r="12" spans="1:9" x14ac:dyDescent="0.35">
      <c r="A12" s="277"/>
      <c r="B12" s="277"/>
      <c r="C12" s="277"/>
      <c r="D12" s="189"/>
      <c r="E12" s="189"/>
      <c r="G12" s="77"/>
      <c r="H12" s="76"/>
      <c r="I12" s="78"/>
    </row>
    <row r="13" spans="1:9" x14ac:dyDescent="0.35">
      <c r="A13" s="277"/>
      <c r="B13" s="277"/>
      <c r="C13" s="277"/>
      <c r="D13" s="189"/>
      <c r="E13" s="189"/>
      <c r="G13" s="77"/>
      <c r="H13" s="76"/>
      <c r="I13" s="78"/>
    </row>
    <row r="14" spans="1:9" ht="13.15" thickBot="1" x14ac:dyDescent="0.4">
      <c r="A14" s="277"/>
      <c r="B14" s="277"/>
      <c r="C14" s="277"/>
      <c r="D14" s="189"/>
      <c r="E14" s="189"/>
      <c r="G14" s="79"/>
      <c r="H14" s="174"/>
      <c r="I14" s="80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W2A0leOmetu8SWeT4i1J6GiTWrxeGhCPvT0Lazr9tPgWfc4IpsO3db1A60ORdXelcYVmWB/fkXhm8Bn7W2Yf0A==" saltValue="sdoaRWkkGeshGxXHOaOdr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78" t="s">
        <v>29</v>
      </c>
      <c r="P1" s="278" t="s">
        <v>32</v>
      </c>
      <c r="Q1" s="278" t="s">
        <v>33</v>
      </c>
    </row>
    <row r="2" spans="1:21" x14ac:dyDescent="0.5">
      <c r="I2" s="278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78"/>
      <c r="Q2" s="278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26</v>
      </c>
      <c r="T7" s="1" t="s">
        <v>188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79" t="s">
        <v>48</v>
      </c>
      <c r="K11" s="279"/>
      <c r="L11" s="279"/>
      <c r="M11" s="279"/>
      <c r="N11" s="279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39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0.66</v>
      </c>
      <c r="P25" s="4">
        <f>IF(Econ!F72&lt;1,1,((O25-1)/Econ!E72))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2021-04-03T00:18:06Z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