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EB3BE782-8380-45F2-8994-D148E1552C9C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4" l="1"/>
  <c r="B25" i="3" l="1"/>
  <c r="B39" i="4" l="1"/>
  <c r="B36" i="4" l="1"/>
  <c r="B37" i="4"/>
  <c r="B40" i="4"/>
  <c r="B35" i="4"/>
  <c r="G204" i="1" l="1"/>
  <c r="C96" i="1"/>
  <c r="C97" i="1"/>
  <c r="C98" i="1"/>
  <c r="C95" i="1"/>
  <c r="B96" i="1"/>
  <c r="B97" i="1"/>
  <c r="B98" i="1"/>
  <c r="B95" i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C25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<sst xmlns="http://schemas.openxmlformats.org/spreadsheetml/2006/main" count="635" uniqueCount="301">
  <si>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</si>
  <si>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</si>
  <si>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</si>
  <si>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</si>
  <si>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</si>
  <si>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</si>
  <si>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</si>
  <si>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</si>
  <si>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</si>
  <si>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</si>
  <si>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</si>
  <si>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</si>
  <si>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</si>
  <si>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</si>
  <si>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</si>
  <si>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</si>
  <si>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</si>
  <si>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</si>
  <si>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</si>
  <si>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</si>
  <si>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</si>
  <si>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</si>
  <si>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</si>
  <si>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</si>
  <si>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</si>
  <si>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</si>
  <si>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</si>
  <si>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</si>
  <si>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</si>
  <si>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</si>
  <si>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</si>
  <si>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</si>
  <si>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</si>
  <si>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</si>
  <si>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</si>
  <si>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</si>
  <si>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</si>
  <si>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</si>
  <si>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</si>
  <si>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</si>
  <si>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</si>
  <si>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</si>
  <si>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</si>
  <si>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</si>
  <si>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</si>
  <si>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</si>
  <si>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</si>
  <si>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</si>
  <si>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</si>
  <si>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</si>
  <si>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</si>
  <si>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</si>
  <si>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</si>
  <si>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</si>
  <si>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</si>
  <si>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</si>
  <si>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</si>
  <si>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</si>
  <si>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</si>
  <si>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</si>
  <si>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</si>
  <si>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</si>
  <si>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</si>
  <si>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</si>
  <si>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</si>
  <si>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</si>
  <si>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</si>
  <si>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</si>
  <si>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</si>
  <si>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</si>
  <si>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</si>
  <si>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</si>
  <si>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</si>
  <si>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</si>
  <si>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</si>
  <si>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</si>
  <si>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</si>
  <si>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</si>
  <si>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</si>
  <si>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</si>
  <si>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</si>
  <si>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</si>
  <si>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</si>
  <si>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</si>
  <si>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</si>
  <si>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</si>
  <si>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</si>
  <si>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</si>
  <si>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</si>
  <si>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</si>
  <si>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</si>
  <si>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</si>
  <si>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</si>
  <si>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</si>
  <si>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</si>
  <si>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</si>
  <si>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</si>
  <si>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</si>
  <si>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</si>
  <si>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</si>
  <si>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</si>
  <si>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</si>
  <si>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</si>
  <si>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</si>
  <si>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</si>
  <si>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</si>
  <si>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</si>
  <si>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</si>
  <si>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</si>
  <si>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</si>
  <si>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</si>
  <si>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</si>
  <si>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</si>
  <si>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</si>
  <si>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</si>
  <si>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</si>
  <si>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</si>
  <si>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</si>
  <si>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</si>
  <si>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</si>
  <si>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</si>
  <si>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</si>
  <si>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</si>
  <si>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</si>
  <si>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</si>
  <si>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</si>
  <si>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</si>
  <si>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</si>
  <si>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</si>
  <si>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</si>
  <si>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</si>
  <si>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</si>
  <si>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</si>
  <si>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</si>
  <si>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</si>
  <si>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</si>
  <si>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</si>
  <si>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</si>
  <si>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</si>
  <si>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</si>
  <si>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</si>
  <si>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</si>
  <si>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</si>
  <si>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</si>
  <si>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</si>
  <si>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</si>
  <si>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</si>
  <si>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</si>
  <si>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</si>
  <si>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</si>
  <si>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</si>
  <si>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</si>
  <si>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</si>
  <si>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</si>
  <si>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</si>
  <si>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</si>
  <si>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</si>
  <si>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</si>
  <si>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</si>
  <si>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</si>
  <si>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</si>
  <si>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</si>
  <si>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</si>
  <si>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</si>
  <si>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</si>
  <si>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</si>
  <si>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</si>
  <si>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</si>
  <si>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</si>
  <si>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</si>
  <si>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</si>
  <si>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</si>
  <si>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</si>
  <si>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</si>
  <si>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</si>
  <si>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</si>
  <si>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</si>
  <si>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</si>
  <si>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</si>
  <si>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</si>
  <si>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</si>
  <si>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</si>
  <si>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</si>
  <si>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</si>
  <si>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</si>
  <si>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</si>
  <si>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</si>
  <si>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</si>
  <si>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</si>
  <si>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</si>
  <si>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</si>
  <si>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</si>
  <si>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</si>
  <si>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</si>
  <si>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</si>
  <si>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</si>
  <si>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</si>
  <si>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</si>
  <si>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</si>
  <si>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</si>
  <si>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</si>
  <si>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</si>
  <si>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</si>
  <si>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</si>
  <si>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</si>
  <si>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</si>
  <si>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</si>
  <si>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</si>
  <si>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</si>
  <si>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</si>
  <si>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</si>
  <si>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</si>
  <si>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</si>
  <si>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</si>
  <si>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</si>
  <si>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</si>
  <si>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</si>
  <si>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</si>
  <si>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</si>
  <si>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</si>
  <si>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</si>
  <si>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</si>
  <si>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</si>
  <si>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</si>
  <si>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</si>
  <si>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</si>
  <si>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</si>
  <si>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</si>
  <si>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</si>
  <si>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</si>
  <si>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</si>
  <si>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</si>
  <si>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</si>
  <si>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</si>
  <si>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</si>
  <si>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</si>
  <si>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</si>
  <si>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</si>
  <si>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</si>
  <si>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</si>
  <si>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</si>
  <si>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</si>
  <si>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</si>
  <si>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</si>
  <si>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</si>
  <si>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</si>
  <si>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</si>
  <si>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</si>
  <si>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</si>
  <si>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</si>
  <si>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</si>
  <si>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</si>
  <si>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</si>
  <si>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</si>
  <si>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</si>
  <si>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</si>
  <si>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</si>
  <si>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 xml:space="preserve">Bremerhaven, Wilhemshaven (Atlántico), Kiel, Danzig, Konigsburg (Báltico) 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</si>
  <si>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</si>
  <si>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</si>
  <si>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</si>
  <si>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</si>
  <si>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</si>
  <si>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</si>
  <si>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</si>
  <si>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</si>
  <si>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</si>
  <si>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</si>
  <si>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</si>
  <si>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</si>
  <si>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</si>
  <si>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</si>
  <si>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</si>
  <si>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</si>
  <si>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</si>
  <si>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</si>
  <si>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</si>
  <si>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</si>
  <si>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Mat Prima</t>
  </si>
  <si>
    <t>Venezuela (hasta 1896)</t>
  </si>
  <si>
    <t>Materia Prima en Camerún</t>
  </si>
  <si>
    <t>Extremo Oriente: Quinhuangdao</t>
  </si>
  <si>
    <t>Ferrocarril Chileno</t>
  </si>
  <si>
    <t>Chile</t>
  </si>
  <si>
    <t>Año</t>
  </si>
  <si>
    <t>Gaoundere-Marowa</t>
  </si>
  <si>
    <t>Holanda (hasta 1896)</t>
  </si>
  <si>
    <t>Suecia (hasta 1896)</t>
  </si>
  <si>
    <t>España  (hasta 1896)</t>
  </si>
  <si>
    <t>Argentina (hasta 1896)</t>
  </si>
  <si>
    <t>Chile (Hasta 1896)</t>
  </si>
  <si>
    <t>Maputo-Pretoria</t>
  </si>
  <si>
    <t>Tropical en Togo, Camerún y África Este</t>
  </si>
  <si>
    <t>FFCC Peking-Qinhuangdao</t>
  </si>
  <si>
    <t>Peking-Qinhuangdao</t>
  </si>
  <si>
    <t>China (Hebei)</t>
  </si>
  <si>
    <t>Lome (Togo) - Kandi</t>
  </si>
  <si>
    <t>6 AL-D / 1 AC-D</t>
  </si>
  <si>
    <t>Pacífico Sur: Isla de Pascua</t>
  </si>
  <si>
    <t>Ferrocarril de Anatolia</t>
  </si>
  <si>
    <t>Anatolia-Basora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</si>
</sst>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42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activeCell="D7" sqref="D7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97" t="s">
        <v>228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1896</v>
      </c>
    </row>
    <row r="4" spans="1:17" ht="18" thickBot="1" x14ac:dyDescent="0.55000000000000004">
      <c r="A4" s="87" t="s">
        <v>62</v>
      </c>
      <c r="B4" s="87">
        <v>46.95</v>
      </c>
      <c r="C4" s="88"/>
      <c r="G4" s="87" t="s">
        <v>77</v>
      </c>
      <c r="H4" s="87" t="s">
        <v>243</v>
      </c>
    </row>
    <row r="5" spans="1:17" ht="18" thickBot="1" x14ac:dyDescent="0.55000000000000004">
      <c r="A5" s="87" t="s">
        <v>63</v>
      </c>
      <c r="B5" s="89">
        <f>B4-Militar!P12</f>
        <v>35.68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194" t="s">
        <v>65</v>
      </c>
      <c r="B7" s="196"/>
      <c r="E7" s="189"/>
      <c r="G7" s="199" t="s">
        <v>78</v>
      </c>
      <c r="H7" s="199"/>
      <c r="I7" s="90">
        <v>0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338.96</v>
      </c>
      <c r="C8" s="92"/>
      <c r="E8" s="181"/>
      <c r="G8" s="199" t="s">
        <v>79</v>
      </c>
      <c r="H8" s="199"/>
      <c r="I8" s="90">
        <f>I7*J13</f>
        <v>0</v>
      </c>
      <c r="Q8" s="179"/>
    </row>
    <row r="9" spans="1:17" ht="18" thickBot="1" x14ac:dyDescent="0.55000000000000004">
      <c r="A9" s="87" t="s">
        <v>73</v>
      </c>
      <c r="B9" s="90">
        <f>Colonias!C7+Ferrocarriles!D1</f>
        <v>77</v>
      </c>
      <c r="C9" s="92"/>
      <c r="H9" s="87" t="s">
        <v>2</v>
      </c>
      <c r="I9" s="90">
        <f>SUM(I7:I8)</f>
        <v>0</v>
      </c>
      <c r="J9" s="93"/>
    </row>
    <row r="10" spans="1:17" ht="18" thickBot="1" x14ac:dyDescent="0.55000000000000004">
      <c r="A10" s="87" t="s">
        <v>74</v>
      </c>
      <c r="B10" s="90">
        <v>12</v>
      </c>
    </row>
    <row r="11" spans="1:17" ht="18" thickBot="1" x14ac:dyDescent="0.55000000000000004">
      <c r="A11" s="87" t="s">
        <v>75</v>
      </c>
      <c r="B11" s="90">
        <f>Militar!O12</f>
        <v>55</v>
      </c>
      <c r="J11" s="94"/>
      <c r="K11" s="200"/>
    </row>
    <row r="12" spans="1:17" ht="19.5" customHeight="1" thickBot="1" x14ac:dyDescent="0.55000000000000004">
      <c r="A12" s="94"/>
      <c r="B12" s="95"/>
      <c r="C12" s="94"/>
      <c r="D12" s="200"/>
      <c r="G12" s="198"/>
      <c r="H12" s="198"/>
      <c r="I12" s="96"/>
      <c r="J12" s="87" t="s">
        <v>81</v>
      </c>
      <c r="K12" s="200"/>
    </row>
    <row r="13" spans="1:17" ht="18" thickBot="1" x14ac:dyDescent="0.55000000000000004">
      <c r="A13" s="94"/>
      <c r="B13" s="95"/>
      <c r="C13" s="94"/>
      <c r="D13" s="200"/>
      <c r="G13" s="199" t="s">
        <v>80</v>
      </c>
      <c r="H13" s="199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372.96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7" t="s">
        <v>230</v>
      </c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1" t="s">
        <v>86</v>
      </c>
      <c r="J20" s="201"/>
      <c r="K20" s="201"/>
      <c r="L20" s="201"/>
      <c r="M20" s="201"/>
      <c r="N20" s="201"/>
    </row>
    <row r="21" spans="1:17" ht="18.399999999999999" thickTop="1" thickBot="1" x14ac:dyDescent="0.55000000000000004">
      <c r="A21" s="87" t="s">
        <v>82</v>
      </c>
      <c r="B21" s="87">
        <v>20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01" t="s">
        <v>89</v>
      </c>
      <c r="L21" s="201"/>
      <c r="M21" s="201" t="s">
        <v>90</v>
      </c>
      <c r="N21" s="201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1</v>
      </c>
      <c r="E22" s="87">
        <v>3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20</v>
      </c>
      <c r="C23" s="87">
        <f t="shared" ref="C23:G23" si="0">SUM(C21:C22)</f>
        <v>13</v>
      </c>
      <c r="D23" s="87">
        <f t="shared" si="0"/>
        <v>6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25</v>
      </c>
      <c r="K23" s="100">
        <f>J23+(J23*0.3)</f>
        <v>32.5</v>
      </c>
      <c r="L23" s="100">
        <f>J23-(J23*0.3)</f>
        <v>17.5</v>
      </c>
      <c r="M23" s="100">
        <f>J23-(J23*0.2)</f>
        <v>20</v>
      </c>
      <c r="N23" s="100">
        <f>J23+(J23*0.2)</f>
        <v>30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8.536363636363637</v>
      </c>
      <c r="C24" s="101">
        <f>ROUNDUP(B4/(VLOOKUP(B6,Econ_chart,3,FALSE)),0)</f>
        <v>21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-8.536363636363637</v>
      </c>
      <c r="C25" s="103">
        <f>C21-C24</f>
        <v>-8</v>
      </c>
      <c r="D25" s="104">
        <f>D23</f>
        <v>6</v>
      </c>
      <c r="E25" s="103">
        <f>E23-E24</f>
        <v>-6</v>
      </c>
      <c r="F25" s="104">
        <f>F23</f>
        <v>4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292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280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90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2" t="s">
        <v>98</v>
      </c>
      <c r="P29" s="202"/>
      <c r="Q29" s="20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2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3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0</v>
      </c>
      <c r="D34" s="108">
        <f t="shared" si="5"/>
        <v>2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220</v>
      </c>
    </row>
    <row r="35" spans="1:16" ht="18" thickBot="1" x14ac:dyDescent="0.55000000000000004">
      <c r="A35" s="87" t="s">
        <v>105</v>
      </c>
      <c r="B35" s="108">
        <f>B33-B58</f>
        <v>3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7" t="s">
        <v>229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</row>
    <row r="38" spans="1:16" ht="18" thickBot="1" x14ac:dyDescent="0.55000000000000004"/>
    <row r="39" spans="1:16" ht="18" thickBot="1" x14ac:dyDescent="0.55000000000000004">
      <c r="B39" s="194" t="s">
        <v>109</v>
      </c>
      <c r="C39" s="195"/>
      <c r="D39" s="196"/>
      <c r="J39" s="194" t="s">
        <v>110</v>
      </c>
      <c r="K39" s="195"/>
      <c r="L39" s="195"/>
      <c r="M39" s="196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286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82</v>
      </c>
    </row>
    <row r="42" spans="1:16" x14ac:dyDescent="0.5">
      <c r="A42" s="147" t="s">
        <v>287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0</v>
      </c>
    </row>
    <row r="43" spans="1:16" x14ac:dyDescent="0.5">
      <c r="A43" s="147" t="s">
        <v>279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>
        <v>0</v>
      </c>
    </row>
    <row r="44" spans="1:16" x14ac:dyDescent="0.5">
      <c r="A44" s="147" t="s">
        <v>288</v>
      </c>
      <c r="B44" s="148"/>
      <c r="C44" s="148"/>
      <c r="D44" s="148"/>
      <c r="E44" s="148"/>
      <c r="F44" s="148"/>
      <c r="G44" s="148"/>
      <c r="H44" s="149">
        <v>31</v>
      </c>
      <c r="J44" s="148"/>
      <c r="K44" s="148"/>
      <c r="L44" s="148">
        <v>2</v>
      </c>
      <c r="M44" s="148">
        <v>1</v>
      </c>
      <c r="N44" s="148"/>
      <c r="O44" s="148"/>
      <c r="P44" s="148">
        <v>0</v>
      </c>
    </row>
    <row r="45" spans="1:16" x14ac:dyDescent="0.5">
      <c r="A45" s="147" t="s">
        <v>289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>
        <v>0</v>
      </c>
    </row>
    <row r="46" spans="1:16" x14ac:dyDescent="0.5">
      <c r="A46" s="147" t="s">
        <v>290</v>
      </c>
      <c r="B46" s="148"/>
      <c r="C46" s="148"/>
      <c r="D46" s="148"/>
      <c r="E46" s="148"/>
      <c r="F46" s="148"/>
      <c r="G46" s="148"/>
      <c r="H46" s="149">
        <v>20</v>
      </c>
      <c r="J46" s="148"/>
      <c r="K46" s="148"/>
      <c r="L46" s="148">
        <v>2</v>
      </c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0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-162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5</v>
      </c>
      <c r="M60" s="108">
        <f t="shared" si="8"/>
        <v>7</v>
      </c>
      <c r="N60" s="108">
        <f t="shared" si="8"/>
        <v>0</v>
      </c>
      <c r="O60" s="108">
        <f t="shared" si="8"/>
        <v>3</v>
      </c>
      <c r="P60" s="113">
        <f xml:space="preserve"> SUM(P41:P58)-P59</f>
        <v>82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Colonias!D50</f>
        <v>0</v>
      </c>
      <c r="C62" s="87">
        <f>Colonias!E50</f>
        <v>0</v>
      </c>
      <c r="D62" s="87">
        <f>Colonias!F50</f>
        <v>0</v>
      </c>
      <c r="E62" s="87">
        <f>Colonias!G50</f>
        <v>0</v>
      </c>
      <c r="F62" s="87">
        <f>Colonias!H50</f>
        <v>0</v>
      </c>
      <c r="G62" s="87">
        <f>Colonias!I50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-11.536363636363637</v>
      </c>
      <c r="C63" s="101">
        <f t="shared" si="9"/>
        <v>-9</v>
      </c>
      <c r="D63" s="101">
        <f t="shared" si="9"/>
        <v>11</v>
      </c>
      <c r="E63" s="101">
        <f t="shared" si="9"/>
        <v>1</v>
      </c>
      <c r="F63" s="101">
        <f t="shared" si="9"/>
        <v>4</v>
      </c>
      <c r="G63" s="101">
        <f t="shared" si="9"/>
        <v>5</v>
      </c>
      <c r="H63" s="116">
        <f>B15+H60+P60</f>
        <v>292.95999999999998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-11.536363636363637</v>
      </c>
      <c r="C71" s="101">
        <f>C63</f>
        <v>-9</v>
      </c>
      <c r="D71" s="101">
        <f>D63-D67</f>
        <v>11</v>
      </c>
      <c r="E71" s="101">
        <f>E70+E63</f>
        <v>1</v>
      </c>
      <c r="F71" s="101">
        <f>F63-F68-F69</f>
        <v>4</v>
      </c>
      <c r="G71" s="101">
        <f>G63-G68-G69</f>
        <v>5</v>
      </c>
      <c r="H71" s="116">
        <f>H63-H70</f>
        <v>292.95999999999998</v>
      </c>
      <c r="I71" s="87">
        <f>B23-I67-I68-I69-I70</f>
        <v>20</v>
      </c>
    </row>
    <row r="73" spans="1:16" x14ac:dyDescent="0.5">
      <c r="A73" s="197" t="s">
        <v>137</v>
      </c>
      <c r="B73" s="197"/>
      <c r="C73" s="197"/>
      <c r="D73" s="197"/>
      <c r="E73" s="197"/>
      <c r="F73" s="197"/>
      <c r="G73" s="197"/>
      <c r="H73" s="197"/>
      <c r="I73" s="197"/>
      <c r="J73" s="197"/>
      <c r="K73" s="197"/>
      <c r="L73" s="197"/>
      <c r="M73" s="197"/>
      <c r="N73" s="197"/>
      <c r="O73" s="197"/>
      <c r="P73" s="197"/>
    </row>
    <row r="75" spans="1:16" ht="18" thickBot="1" x14ac:dyDescent="0.55000000000000004">
      <c r="A75" s="118" t="s">
        <v>235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14" t="s">
        <v>127</v>
      </c>
      <c r="B76" s="214" t="s">
        <v>117</v>
      </c>
      <c r="C76" s="214" t="s">
        <v>242</v>
      </c>
      <c r="D76" s="214" t="s">
        <v>126</v>
      </c>
      <c r="E76" s="203" t="s">
        <v>119</v>
      </c>
      <c r="F76" s="203" t="s">
        <v>118</v>
      </c>
      <c r="G76" s="207" t="s">
        <v>117</v>
      </c>
      <c r="H76" s="207" t="s">
        <v>121</v>
      </c>
    </row>
    <row r="77" spans="1:16" ht="18" thickBot="1" x14ac:dyDescent="0.55000000000000004">
      <c r="A77" s="215"/>
      <c r="B77" s="215"/>
      <c r="C77" s="215"/>
      <c r="D77" s="215"/>
      <c r="E77" s="204"/>
      <c r="F77" s="204"/>
      <c r="G77" s="208"/>
      <c r="H77" s="208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60</v>
      </c>
      <c r="C79" s="97">
        <v>0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55</v>
      </c>
      <c r="C80" s="97">
        <v>0.33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</row>
    <row r="81" spans="1:9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9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9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9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9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9" ht="18" thickBot="1" x14ac:dyDescent="0.55000000000000004">
      <c r="A87" s="147"/>
      <c r="B87" s="90" t="str">
        <f>IF(A87="","",VLOOKUP(A87,Colonias!$B$35:$E$40,4,FALSE))</f>
        <v/>
      </c>
      <c r="C87" s="97">
        <f>IF(A87="",0,VLOOKUP(A87,Colonias!$B$35:$F$40,5,FALSE))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IF(A87="","No",VLOOKUP(A87,Colonias!$B$35:$G$40,6,FALSE))</f>
        <v>No</v>
      </c>
      <c r="I87" s="88"/>
    </row>
    <row r="88" spans="1:9" ht="18" thickBot="1" x14ac:dyDescent="0.55000000000000004">
      <c r="A88" s="147"/>
      <c r="B88" s="90" t="str">
        <f>IF(A88="","",VLOOKUP(A88,Colonias!$B$35:$E$40,4,FALSE))</f>
        <v/>
      </c>
      <c r="C88" s="97">
        <f>IF(A88="",0,VLOOKUP(A88,Colonias!$B$35:$F$40,5,FALSE))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IF(A88="","No",VLOOKUP(A88,Colonias!$B$35:$G$40,6,FALSE))</f>
        <v>No</v>
      </c>
      <c r="I88" s="88"/>
    </row>
    <row r="89" spans="1:9" ht="18" thickBot="1" x14ac:dyDescent="0.55000000000000004">
      <c r="A89" s="147"/>
      <c r="B89" s="90" t="str">
        <f>IF(A89="","",VLOOKUP(A89,Colonias!$B$35:$E$40,4,FALSE))</f>
        <v/>
      </c>
      <c r="C89" s="97">
        <f>IF(A89="",0,VLOOKUP(A89,Colonias!$B$35:$F$40,5,FALSE))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IF(A89="","No",VLOOKUP(A89,Colonias!$B$35:$G$40,6,FALSE))</f>
        <v>No</v>
      </c>
      <c r="I89" s="88"/>
    </row>
    <row r="90" spans="1:9" ht="18" thickBot="1" x14ac:dyDescent="0.55000000000000004">
      <c r="A90" s="147"/>
      <c r="B90" s="90" t="str">
        <f>IF(A90="","",VLOOKUP(A90,Colonias!$B$35:$E$40,4,FALSE))</f>
        <v/>
      </c>
      <c r="C90" s="97">
        <f>IF(A90="",0,VLOOKUP(A90,Colonias!$B$35:$F$40,5,FALSE))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IF(A90="","No",VLOOKUP(A90,Colonias!$B$35:$G$40,6,FALSE))</f>
        <v>No</v>
      </c>
      <c r="I90" s="88"/>
    </row>
    <row r="91" spans="1:9" ht="18" thickBot="1" x14ac:dyDescent="0.55000000000000004">
      <c r="A91" s="147"/>
      <c r="B91" s="90" t="str">
        <f>IF(A91="","",VLOOKUP(A91,Colonias!$B$35:$E$40,4,FALSE))</f>
        <v/>
      </c>
      <c r="C91" s="97">
        <f>IF(A91="",0,VLOOKUP(A91,Colonias!$B$35:$F$40,5,FALSE))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IF(A91="","No",VLOOKUP(A91,Colonias!$B$35:$G$40,6,FALSE))</f>
        <v>No</v>
      </c>
      <c r="I91" s="88"/>
    </row>
    <row r="92" spans="1:9" ht="18" thickBot="1" x14ac:dyDescent="0.55000000000000004">
      <c r="B92" s="92"/>
      <c r="F92" s="121" t="s">
        <v>2</v>
      </c>
      <c r="G92" s="122">
        <f>SUM(G78:G91)</f>
        <v>0</v>
      </c>
    </row>
    <row r="93" spans="1:9" ht="18" thickBot="1" x14ac:dyDescent="0.55000000000000004">
      <c r="A93" s="123" t="s">
        <v>236</v>
      </c>
      <c r="B93" s="92"/>
      <c r="F93" s="94"/>
      <c r="G93" s="95"/>
    </row>
    <row r="94" spans="1:9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9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9" ht="18" thickBot="1" x14ac:dyDescent="0.55000000000000004">
      <c r="A96" s="147"/>
      <c r="B96" s="90" t="str">
        <f>IF(A96="","",VLOOKUP(A96,Ferrocarriles!$G$5:$I$10,2,FALSE))</f>
        <v/>
      </c>
      <c r="C96" s="151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51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51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237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234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272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275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</row>
    <row r="115" spans="1:10" ht="18" thickBot="1" x14ac:dyDescent="0.55000000000000004">
      <c r="A115" s="87" t="s">
        <v>276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156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292.95999999999998</v>
      </c>
    </row>
    <row r="125" spans="1:10" ht="18" thickBot="1" x14ac:dyDescent="0.55000000000000004">
      <c r="A125" s="118" t="s">
        <v>238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292.95999999999998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09" t="s">
        <v>151</v>
      </c>
      <c r="L135" s="205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10"/>
      <c r="L136" s="206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162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198"/>
      <c r="B145" s="198"/>
      <c r="C145" s="135"/>
      <c r="D145" s="87" t="s">
        <v>157</v>
      </c>
      <c r="E145" s="87" t="s">
        <v>158</v>
      </c>
      <c r="F145" s="87" t="s">
        <v>159</v>
      </c>
      <c r="G145" s="87" t="s">
        <v>160</v>
      </c>
      <c r="H145" s="87" t="s">
        <v>117</v>
      </c>
      <c r="I145" s="87" t="s">
        <v>161</v>
      </c>
    </row>
    <row r="146" spans="1:9" ht="18" thickBot="1" x14ac:dyDescent="0.55000000000000004">
      <c r="A146" s="198"/>
      <c r="B146" s="198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163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09" t="s">
        <v>167</v>
      </c>
      <c r="G153" s="136"/>
    </row>
    <row r="154" spans="1:9" ht="18" thickBot="1" x14ac:dyDescent="0.55000000000000004">
      <c r="A154" s="133" t="s">
        <v>164</v>
      </c>
      <c r="B154" s="134" t="s">
        <v>165</v>
      </c>
      <c r="C154" s="134" t="s">
        <v>123</v>
      </c>
      <c r="D154" s="134" t="s">
        <v>166</v>
      </c>
      <c r="E154" s="134" t="s">
        <v>148</v>
      </c>
      <c r="F154" s="210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09"/>
      <c r="G164" s="136"/>
    </row>
    <row r="165" spans="1:8" ht="18" thickBot="1" x14ac:dyDescent="0.55000000000000004">
      <c r="A165" s="133" t="s">
        <v>174</v>
      </c>
      <c r="B165" s="134" t="s">
        <v>148</v>
      </c>
      <c r="C165" s="134" t="s">
        <v>166</v>
      </c>
      <c r="D165" s="141" t="s">
        <v>175</v>
      </c>
      <c r="E165" s="134"/>
      <c r="F165" s="210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176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178</v>
      </c>
      <c r="B173" s="144" t="s">
        <v>177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179</v>
      </c>
    </row>
    <row r="183" spans="1:14" ht="18" thickBot="1" x14ac:dyDescent="0.55000000000000004">
      <c r="A183" s="194" t="s">
        <v>180</v>
      </c>
      <c r="B183" s="195"/>
      <c r="C183" s="195"/>
      <c r="D183" s="195"/>
      <c r="E183" s="195"/>
      <c r="F183" s="196"/>
      <c r="G183" s="145" t="s">
        <v>181</v>
      </c>
      <c r="N183" s="146"/>
    </row>
    <row r="184" spans="1:14" ht="19.5" customHeight="1" thickBot="1" x14ac:dyDescent="0.55000000000000004">
      <c r="A184" s="211"/>
      <c r="B184" s="212"/>
      <c r="C184" s="212"/>
      <c r="D184" s="212"/>
      <c r="E184" s="212"/>
      <c r="F184" s="213"/>
      <c r="G184" s="160"/>
    </row>
    <row r="185" spans="1:14" ht="18" thickBot="1" x14ac:dyDescent="0.55000000000000004">
      <c r="A185" s="211"/>
      <c r="B185" s="212"/>
      <c r="C185" s="212"/>
      <c r="D185" s="212"/>
      <c r="E185" s="212"/>
      <c r="F185" s="213"/>
      <c r="G185" s="160"/>
    </row>
    <row r="186" spans="1:14" ht="19.5" customHeight="1" thickBot="1" x14ac:dyDescent="0.55000000000000004">
      <c r="A186" s="211"/>
      <c r="B186" s="212"/>
      <c r="C186" s="212"/>
      <c r="D186" s="212"/>
      <c r="E186" s="212"/>
      <c r="F186" s="213"/>
      <c r="G186" s="160"/>
    </row>
    <row r="187" spans="1:14" ht="19.5" customHeight="1" thickBot="1" x14ac:dyDescent="0.55000000000000004">
      <c r="A187" s="211"/>
      <c r="B187" s="212"/>
      <c r="C187" s="212"/>
      <c r="D187" s="212"/>
      <c r="E187" s="212"/>
      <c r="F187" s="213"/>
      <c r="G187" s="160"/>
    </row>
    <row r="188" spans="1:14" ht="19.5" customHeight="1" thickBot="1" x14ac:dyDescent="0.55000000000000004">
      <c r="A188" s="211"/>
      <c r="B188" s="212"/>
      <c r="C188" s="212"/>
      <c r="D188" s="212"/>
      <c r="E188" s="212"/>
      <c r="F188" s="213"/>
      <c r="G188" s="160"/>
    </row>
    <row r="189" spans="1:14" ht="19.5" customHeight="1" thickBot="1" x14ac:dyDescent="0.55000000000000004">
      <c r="A189" s="211"/>
      <c r="B189" s="212"/>
      <c r="C189" s="212"/>
      <c r="D189" s="212"/>
      <c r="E189" s="212"/>
      <c r="F189" s="213"/>
      <c r="G189" s="160"/>
    </row>
    <row r="190" spans="1:14" ht="19.5" customHeight="1" thickBot="1" x14ac:dyDescent="0.55000000000000004">
      <c r="A190" s="211"/>
      <c r="B190" s="212"/>
      <c r="C190" s="212"/>
      <c r="D190" s="212"/>
      <c r="E190" s="212"/>
      <c r="F190" s="213"/>
      <c r="G190" s="160"/>
    </row>
    <row r="191" spans="1:14" ht="19.5" customHeight="1" thickBot="1" x14ac:dyDescent="0.55000000000000004">
      <c r="A191" s="211"/>
      <c r="B191" s="212"/>
      <c r="C191" s="212"/>
      <c r="D191" s="212"/>
      <c r="E191" s="212"/>
      <c r="F191" s="213"/>
      <c r="G191" s="160"/>
    </row>
    <row r="192" spans="1:14" ht="19.5" customHeight="1" thickBot="1" x14ac:dyDescent="0.55000000000000004">
      <c r="A192" s="211"/>
      <c r="B192" s="212"/>
      <c r="C192" s="212"/>
      <c r="D192" s="212"/>
      <c r="E192" s="212"/>
      <c r="F192" s="213"/>
      <c r="G192" s="160"/>
    </row>
    <row r="193" spans="1:7" ht="19.5" customHeight="1" thickBot="1" x14ac:dyDescent="0.55000000000000004">
      <c r="A193" s="211"/>
      <c r="B193" s="212"/>
      <c r="C193" s="212"/>
      <c r="D193" s="212"/>
      <c r="E193" s="212"/>
      <c r="F193" s="213"/>
      <c r="G193" s="160"/>
    </row>
    <row r="194" spans="1:7" ht="18" thickBot="1" x14ac:dyDescent="0.55000000000000004">
      <c r="A194" s="211"/>
      <c r="B194" s="212"/>
      <c r="C194" s="212"/>
      <c r="D194" s="212"/>
      <c r="E194" s="212"/>
      <c r="F194" s="213"/>
      <c r="G194" s="160"/>
    </row>
    <row r="195" spans="1:7" ht="18" thickBot="1" x14ac:dyDescent="0.55000000000000004">
      <c r="A195" s="219"/>
      <c r="B195" s="220"/>
      <c r="C195" s="220"/>
      <c r="D195" s="220"/>
      <c r="E195" s="220"/>
      <c r="F195" s="221"/>
      <c r="G195" s="160"/>
    </row>
    <row r="196" spans="1:7" ht="18" thickBot="1" x14ac:dyDescent="0.55000000000000004">
      <c r="A196" s="211"/>
      <c r="B196" s="212"/>
      <c r="C196" s="212"/>
      <c r="D196" s="212"/>
      <c r="E196" s="212"/>
      <c r="F196" s="213"/>
      <c r="G196" s="163"/>
    </row>
    <row r="197" spans="1:7" ht="18" thickBot="1" x14ac:dyDescent="0.55000000000000004">
      <c r="A197" s="211"/>
      <c r="B197" s="212"/>
      <c r="C197" s="212"/>
      <c r="D197" s="212"/>
      <c r="E197" s="212"/>
      <c r="F197" s="213"/>
      <c r="G197" s="163"/>
    </row>
    <row r="198" spans="1:7" ht="18" thickBot="1" x14ac:dyDescent="0.55000000000000004">
      <c r="A198" s="216"/>
      <c r="B198" s="217"/>
      <c r="C198" s="217"/>
      <c r="D198" s="217"/>
      <c r="E198" s="217"/>
      <c r="F198" s="218"/>
      <c r="G198" s="163"/>
    </row>
    <row r="199" spans="1:7" ht="18" thickBot="1" x14ac:dyDescent="0.55000000000000004">
      <c r="A199" s="211"/>
      <c r="B199" s="212"/>
      <c r="C199" s="212"/>
      <c r="D199" s="212"/>
      <c r="E199" s="212"/>
      <c r="F199" s="213"/>
      <c r="G199" s="160"/>
    </row>
    <row r="200" spans="1:7" ht="18" thickBot="1" x14ac:dyDescent="0.55000000000000004">
      <c r="A200" s="211"/>
      <c r="B200" s="212"/>
      <c r="C200" s="212"/>
      <c r="D200" s="212"/>
      <c r="E200" s="212"/>
      <c r="F200" s="213"/>
      <c r="G200" s="160"/>
    </row>
    <row r="201" spans="1:7" ht="18" thickBot="1" x14ac:dyDescent="0.55000000000000004">
      <c r="A201" s="216"/>
      <c r="B201" s="217"/>
      <c r="C201" s="217"/>
      <c r="D201" s="217"/>
      <c r="E201" s="217"/>
      <c r="F201" s="218"/>
      <c r="G201" s="160"/>
    </row>
    <row r="202" spans="1:7" ht="18" thickBot="1" x14ac:dyDescent="0.55000000000000004">
      <c r="A202" s="211"/>
      <c r="B202" s="217"/>
      <c r="C202" s="217"/>
      <c r="D202" s="217"/>
      <c r="E202" s="217"/>
      <c r="F202" s="218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194" t="s">
        <v>108</v>
      </c>
      <c r="F206" s="196"/>
      <c r="G206" s="116">
        <f>E126-L141-H146-G161-G170-C178-G204</f>
        <v>292.95999999999998</v>
      </c>
    </row>
  </sheetData>
  <sheetProtection algorithmName="SHA-512" hashValue="B8d7LwQCQBK+pqTTrex40qCnM+a5FY8H+cLZEiYM6SsqqUWSQiMwG/fMs/I1x/WlAjdJHpHVzKi3TmIFhUP0FA==" saltValue="VZ6EA1tBywqAax/hME4Odg==" spinCount="100000" sheet="1" objects="1" scenarios="1"/>
  <dataConsolidate/>
  <mergeCells count="51"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  <mergeCell ref="A200:F200"/>
    <mergeCell ref="A201:F201"/>
    <mergeCell ref="A197:F197"/>
    <mergeCell ref="A198:F198"/>
    <mergeCell ref="E206:F206"/>
    <mergeCell ref="A202:F202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08ECA7-21BA-44BA-9BFC-194FD0CB5C9B}">
          <x14:formula1>
            <xm:f>Ferrocarriles!$G$5:$G$10</xm:f>
          </x14:formula1>
          <xm:sqref>A95:A98</xm:sqref>
        </x14:dataValidation>
        <x14:dataValidation type="list" allowBlank="1" showInputMessage="1" showErrorMessage="1" xr:uid="{F76FC5A7-133C-40FB-8751-06DEED306061}">
          <x14:formula1>
            <xm:f>Colonias!$B$35:$B$40</xm:f>
          </x14:formula1>
          <xm:sqref>A87:A91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5" t="s">
        <v>187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</row>
    <row r="5" spans="1:20" ht="15.75" thickBot="1" x14ac:dyDescent="0.5">
      <c r="A5" s="84" t="s">
        <v>188</v>
      </c>
    </row>
    <row r="6" spans="1:20" ht="15.75" thickBot="1" x14ac:dyDescent="0.5">
      <c r="A6" s="50"/>
      <c r="B6" s="224" t="s">
        <v>157</v>
      </c>
      <c r="C6" s="224" t="s">
        <v>148</v>
      </c>
      <c r="D6" s="224" t="s">
        <v>186</v>
      </c>
      <c r="E6" s="224" t="s">
        <v>148</v>
      </c>
      <c r="F6" s="224" t="s">
        <v>147</v>
      </c>
      <c r="G6" s="224" t="s">
        <v>148</v>
      </c>
      <c r="H6" s="224" t="s">
        <v>149</v>
      </c>
      <c r="I6" s="224" t="s">
        <v>148</v>
      </c>
      <c r="J6" s="224" t="s">
        <v>150</v>
      </c>
      <c r="K6" s="248" t="s">
        <v>148</v>
      </c>
      <c r="N6" s="222" t="s">
        <v>189</v>
      </c>
      <c r="O6" s="222"/>
      <c r="P6" s="222"/>
    </row>
    <row r="7" spans="1:20" ht="15.75" thickBot="1" x14ac:dyDescent="0.5">
      <c r="A7" s="51" t="s">
        <v>178</v>
      </c>
      <c r="B7" s="225"/>
      <c r="C7" s="225"/>
      <c r="D7" s="225"/>
      <c r="E7" s="225"/>
      <c r="F7" s="225"/>
      <c r="G7" s="225"/>
      <c r="H7" s="225"/>
      <c r="I7" s="225"/>
      <c r="J7" s="225"/>
      <c r="K7" s="249"/>
      <c r="N7" s="7"/>
      <c r="O7" s="49" t="s">
        <v>117</v>
      </c>
      <c r="P7" s="49" t="s">
        <v>191</v>
      </c>
    </row>
    <row r="8" spans="1:20" ht="15.75" thickBot="1" x14ac:dyDescent="0.5">
      <c r="A8" s="49" t="s">
        <v>246</v>
      </c>
      <c r="B8" s="49">
        <v>10</v>
      </c>
      <c r="C8" s="49" t="s">
        <v>23</v>
      </c>
      <c r="D8" s="49">
        <v>30</v>
      </c>
      <c r="E8" s="49" t="s">
        <v>23</v>
      </c>
      <c r="F8" s="49">
        <v>18</v>
      </c>
      <c r="G8" s="49" t="s">
        <v>23</v>
      </c>
      <c r="H8" s="49">
        <v>4</v>
      </c>
      <c r="I8" s="49" t="s">
        <v>24</v>
      </c>
      <c r="J8" s="49">
        <v>6</v>
      </c>
      <c r="K8" s="49" t="s">
        <v>23</v>
      </c>
      <c r="N8" s="49" t="s">
        <v>190</v>
      </c>
      <c r="O8" s="7"/>
      <c r="P8" s="52">
        <f>B37/1000000</f>
        <v>10.8</v>
      </c>
    </row>
    <row r="9" spans="1:20" ht="15.75" thickBot="1" x14ac:dyDescent="0.5">
      <c r="A9" s="153" t="s">
        <v>246</v>
      </c>
      <c r="B9" s="49">
        <v>10</v>
      </c>
      <c r="C9" s="49" t="s">
        <v>22</v>
      </c>
      <c r="D9" s="49"/>
      <c r="E9" s="49"/>
      <c r="F9" s="49"/>
      <c r="G9" s="49"/>
      <c r="H9" s="49">
        <v>7</v>
      </c>
      <c r="I9" s="49" t="s">
        <v>23</v>
      </c>
      <c r="J9" s="49" t="s">
        <v>6</v>
      </c>
      <c r="K9" s="49"/>
      <c r="N9" s="49" t="s">
        <v>138</v>
      </c>
      <c r="O9" s="53">
        <f>B65</f>
        <v>24</v>
      </c>
      <c r="P9" s="49">
        <f>B66</f>
        <v>0.47000000000000003</v>
      </c>
    </row>
    <row r="10" spans="1:20" ht="15.75" thickBot="1" x14ac:dyDescent="0.5">
      <c r="A10" s="191" t="s">
        <v>246</v>
      </c>
      <c r="B10" s="49"/>
      <c r="C10" s="49"/>
      <c r="D10" s="49"/>
      <c r="E10" s="49"/>
      <c r="F10" s="49"/>
      <c r="G10" s="49"/>
      <c r="H10" s="49">
        <v>1</v>
      </c>
      <c r="I10" s="49" t="s">
        <v>22</v>
      </c>
      <c r="J10" s="49"/>
      <c r="K10" s="49"/>
      <c r="N10" s="7"/>
      <c r="O10" s="54"/>
      <c r="P10" s="7"/>
    </row>
    <row r="11" spans="1:20" ht="15.75" thickBot="1" x14ac:dyDescent="0.5">
      <c r="A11" s="191" t="s">
        <v>247</v>
      </c>
      <c r="B11" s="191" t="s">
        <v>244</v>
      </c>
      <c r="C11" s="191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192</v>
      </c>
      <c r="O11" s="53">
        <f>B99</f>
        <v>31</v>
      </c>
      <c r="P11" s="7"/>
    </row>
    <row r="12" spans="1:20" ht="15.75" thickBot="1" x14ac:dyDescent="0.5">
      <c r="A12" s="191" t="s">
        <v>248</v>
      </c>
      <c r="B12" s="191" t="s">
        <v>244</v>
      </c>
      <c r="C12" s="191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55</v>
      </c>
      <c r="P12" s="52">
        <f>P8+P9</f>
        <v>11.270000000000001</v>
      </c>
    </row>
    <row r="13" spans="1:20" ht="15.75" thickBot="1" x14ac:dyDescent="0.5">
      <c r="A13" s="191" t="s">
        <v>249</v>
      </c>
      <c r="B13" s="191" t="s">
        <v>244</v>
      </c>
      <c r="C13" s="191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191" t="s">
        <v>250</v>
      </c>
      <c r="B14" s="191" t="s">
        <v>244</v>
      </c>
      <c r="C14" s="191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191" t="s">
        <v>245</v>
      </c>
      <c r="B15" s="191" t="s">
        <v>244</v>
      </c>
      <c r="C15" s="191" t="s">
        <v>22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21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12</v>
      </c>
      <c r="I25" s="7"/>
      <c r="J25" s="49">
        <f>SUM(J8:J24)</f>
        <v>6</v>
      </c>
      <c r="K25" s="7"/>
    </row>
    <row r="26" spans="1:18" x14ac:dyDescent="0.45">
      <c r="A26" s="20" t="s">
        <v>273</v>
      </c>
      <c r="B26" s="44" t="s">
        <v>297</v>
      </c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251</v>
      </c>
      <c r="C28" s="45"/>
      <c r="D28" s="168"/>
      <c r="E28" s="166"/>
      <c r="F28" s="167" t="s">
        <v>209</v>
      </c>
      <c r="G28" s="53">
        <f>B25+D25+H25+J25</f>
        <v>69</v>
      </c>
      <c r="I28" s="55" t="s">
        <v>108</v>
      </c>
      <c r="J28" s="59">
        <f>Econ!G206</f>
        <v>292.95999999999998</v>
      </c>
    </row>
    <row r="29" spans="1:18" ht="16.149999999999999" thickTop="1" thickBot="1" x14ac:dyDescent="0.5">
      <c r="A29" s="49" t="s">
        <v>194</v>
      </c>
      <c r="B29" s="49" t="s">
        <v>10</v>
      </c>
    </row>
    <row r="30" spans="1:18" ht="15.75" thickBot="1" x14ac:dyDescent="0.5">
      <c r="A30" s="56" t="s">
        <v>195</v>
      </c>
      <c r="B30" s="57" t="s">
        <v>252</v>
      </c>
      <c r="E30" s="222" t="s">
        <v>196</v>
      </c>
      <c r="F30" s="222"/>
      <c r="G30" s="222"/>
      <c r="H30" s="222"/>
      <c r="I30" s="222"/>
      <c r="J30" s="222"/>
      <c r="K30" s="222"/>
    </row>
    <row r="31" spans="1:18" ht="15.75" thickBot="1" x14ac:dyDescent="0.5">
      <c r="A31" s="44"/>
      <c r="B31" s="44"/>
      <c r="C31" s="44"/>
      <c r="E31" s="222" t="s">
        <v>61</v>
      </c>
      <c r="F31" s="222"/>
      <c r="G31" s="222"/>
      <c r="H31" s="49" t="s">
        <v>117</v>
      </c>
      <c r="I31" s="222" t="s">
        <v>197</v>
      </c>
      <c r="J31" s="222"/>
      <c r="K31" s="222"/>
    </row>
    <row r="32" spans="1:18" ht="15.75" thickBot="1" x14ac:dyDescent="0.5">
      <c r="A32" s="44"/>
      <c r="B32" s="44"/>
      <c r="C32" s="44"/>
      <c r="E32" s="226"/>
      <c r="F32" s="227"/>
      <c r="G32" s="228"/>
      <c r="H32" s="174"/>
      <c r="I32" s="226"/>
      <c r="J32" s="227"/>
      <c r="K32" s="228"/>
      <c r="R32" s="44"/>
    </row>
    <row r="33" spans="1:16" ht="15.75" thickBot="1" x14ac:dyDescent="0.5">
      <c r="A33" s="44"/>
      <c r="E33" s="226"/>
      <c r="F33" s="227"/>
      <c r="G33" s="228"/>
      <c r="H33" s="174"/>
      <c r="I33" s="226"/>
      <c r="J33" s="227"/>
      <c r="K33" s="228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26"/>
      <c r="F34" s="227"/>
      <c r="G34" s="228"/>
      <c r="H34" s="174"/>
      <c r="I34" s="226"/>
      <c r="J34" s="227"/>
      <c r="K34" s="228"/>
    </row>
    <row r="35" spans="1:16" ht="16.149999999999999" thickTop="1" thickBot="1" x14ac:dyDescent="0.5">
      <c r="A35" s="55" t="s">
        <v>198</v>
      </c>
      <c r="B35" s="60">
        <f>(B25+H25+J25)*200000</f>
        <v>7800000</v>
      </c>
      <c r="E35" s="226"/>
      <c r="F35" s="227"/>
      <c r="G35" s="228"/>
      <c r="H35" s="174"/>
      <c r="I35" s="226"/>
      <c r="J35" s="227"/>
      <c r="K35" s="228"/>
    </row>
    <row r="36" spans="1:16" ht="16.149999999999999" thickTop="1" thickBot="1" x14ac:dyDescent="0.5">
      <c r="A36" s="55" t="s">
        <v>199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10800000</v>
      </c>
    </row>
    <row r="38" spans="1:16" ht="16.149999999999999" thickTop="1" thickBot="1" x14ac:dyDescent="0.5"/>
    <row r="39" spans="1:16" ht="15.75" thickBot="1" x14ac:dyDescent="0.5">
      <c r="G39" s="222" t="s">
        <v>200</v>
      </c>
      <c r="H39" s="222"/>
      <c r="I39" s="222"/>
      <c r="J39" s="22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239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50" t="s">
        <v>178</v>
      </c>
      <c r="B48" s="223" t="s">
        <v>204</v>
      </c>
      <c r="C48" s="223" t="s">
        <v>148</v>
      </c>
      <c r="D48" s="223" t="s">
        <v>205</v>
      </c>
      <c r="E48" s="223" t="s">
        <v>148</v>
      </c>
      <c r="F48" s="223" t="s">
        <v>206</v>
      </c>
      <c r="G48" s="223" t="s">
        <v>148</v>
      </c>
      <c r="H48" s="223" t="s">
        <v>207</v>
      </c>
      <c r="I48" s="223" t="s">
        <v>148</v>
      </c>
      <c r="J48" s="223" t="s">
        <v>171</v>
      </c>
      <c r="K48" s="223" t="s">
        <v>148</v>
      </c>
      <c r="L48" s="223" t="s">
        <v>173</v>
      </c>
    </row>
    <row r="49" spans="1:12" ht="16.149999999999999" thickTop="1" thickBot="1" x14ac:dyDescent="0.5">
      <c r="A49" s="251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</row>
    <row r="50" spans="1:12" s="47" customFormat="1" ht="16.149999999999999" thickTop="1" thickBot="1" x14ac:dyDescent="0.5">
      <c r="A50" s="62" t="s">
        <v>253</v>
      </c>
      <c r="B50" s="63">
        <v>5</v>
      </c>
      <c r="C50" s="64" t="s">
        <v>23</v>
      </c>
      <c r="D50" s="63">
        <v>8</v>
      </c>
      <c r="E50" s="64" t="s">
        <v>23</v>
      </c>
      <c r="F50" s="67"/>
      <c r="G50" s="68"/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254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255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193</v>
      </c>
      <c r="B63" s="49" t="s">
        <v>256</v>
      </c>
      <c r="E63" s="49"/>
      <c r="F63" s="58" t="s">
        <v>208</v>
      </c>
      <c r="G63" s="53">
        <f>B64*0.5</f>
        <v>46.5</v>
      </c>
    </row>
    <row r="64" spans="1:12" ht="16.149999999999999" thickTop="1" thickBot="1" x14ac:dyDescent="0.5">
      <c r="A64" s="55" t="s">
        <v>210</v>
      </c>
      <c r="B64" s="55">
        <f>(B59*4)+(D59*2)+(F59*2)+(H59*1)+(J59*1)+(L59*2)</f>
        <v>93</v>
      </c>
    </row>
    <row r="65" spans="1:16" ht="16.149999999999999" thickTop="1" thickBot="1" x14ac:dyDescent="0.5">
      <c r="A65" s="55" t="s">
        <v>211</v>
      </c>
      <c r="B65" s="59">
        <f>ROUNDUP((B64/20)*5,0)</f>
        <v>24</v>
      </c>
      <c r="E65" s="222" t="s">
        <v>212</v>
      </c>
      <c r="F65" s="222"/>
      <c r="G65" s="222"/>
      <c r="H65" s="222"/>
      <c r="I65" s="222"/>
      <c r="J65" s="222"/>
      <c r="K65" s="222"/>
    </row>
    <row r="66" spans="1:16" ht="16.149999999999999" thickTop="1" thickBot="1" x14ac:dyDescent="0.5">
      <c r="A66" s="55" t="s">
        <v>161</v>
      </c>
      <c r="B66" s="55">
        <f>ROUNDUP((B64/20)*0.1,2)</f>
        <v>0.47000000000000003</v>
      </c>
      <c r="C66" s="20" t="s">
        <v>55</v>
      </c>
      <c r="E66" s="222" t="s">
        <v>213</v>
      </c>
      <c r="F66" s="222"/>
      <c r="G66" s="222"/>
      <c r="H66" s="49" t="s">
        <v>117</v>
      </c>
      <c r="I66" s="222" t="s">
        <v>197</v>
      </c>
      <c r="J66" s="222"/>
      <c r="K66" s="222"/>
    </row>
    <row r="67" spans="1:16" ht="15" customHeight="1" thickTop="1" thickBot="1" x14ac:dyDescent="0.5">
      <c r="E67" s="226"/>
      <c r="F67" s="227"/>
      <c r="G67" s="228"/>
      <c r="H67" s="174"/>
      <c r="I67" s="226"/>
      <c r="J67" s="227"/>
      <c r="K67" s="228"/>
    </row>
    <row r="68" spans="1:16" ht="15" customHeight="1" thickBot="1" x14ac:dyDescent="0.5">
      <c r="E68" s="226"/>
      <c r="F68" s="227"/>
      <c r="G68" s="228"/>
      <c r="H68" s="174"/>
      <c r="I68" s="226"/>
      <c r="J68" s="227"/>
      <c r="K68" s="228"/>
    </row>
    <row r="69" spans="1:16" ht="15" customHeight="1" thickBot="1" x14ac:dyDescent="0.5">
      <c r="E69" s="226"/>
      <c r="F69" s="227"/>
      <c r="G69" s="228"/>
      <c r="H69" s="174"/>
      <c r="I69" s="226"/>
      <c r="J69" s="227"/>
      <c r="K69" s="228"/>
    </row>
    <row r="70" spans="1:16" ht="15.75" thickBot="1" x14ac:dyDescent="0.5">
      <c r="E70" s="226"/>
      <c r="F70" s="227"/>
      <c r="G70" s="228"/>
      <c r="H70" s="174"/>
      <c r="I70" s="226"/>
      <c r="J70" s="227"/>
      <c r="K70" s="22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292.95999999999998</v>
      </c>
      <c r="I72" s="48"/>
    </row>
    <row r="75" spans="1:16" ht="15.75" thickBot="1" x14ac:dyDescent="0.5">
      <c r="A75" s="84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41" t="s">
        <v>178</v>
      </c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</row>
    <row r="77" spans="1:16" ht="15.75" thickBot="1" x14ac:dyDescent="0.5">
      <c r="A77" s="49" t="s">
        <v>219</v>
      </c>
      <c r="B77" s="49">
        <v>5</v>
      </c>
      <c r="C77" s="69"/>
      <c r="D77" s="242" t="s">
        <v>257</v>
      </c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4"/>
    </row>
    <row r="78" spans="1:16" ht="15.75" thickBot="1" x14ac:dyDescent="0.5">
      <c r="A78" s="49" t="s">
        <v>215</v>
      </c>
      <c r="B78" s="49">
        <v>5</v>
      </c>
      <c r="C78" s="70">
        <f>B78</f>
        <v>5</v>
      </c>
      <c r="D78" s="245" t="s">
        <v>258</v>
      </c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1:16" x14ac:dyDescent="0.45">
      <c r="A79" s="35"/>
      <c r="B79" s="35"/>
      <c r="C79" s="15"/>
      <c r="D79" s="245" t="s">
        <v>274</v>
      </c>
      <c r="E79" s="259"/>
      <c r="F79" s="259"/>
      <c r="G79" s="259"/>
      <c r="H79" s="259"/>
      <c r="I79" s="259"/>
      <c r="J79" s="259"/>
      <c r="K79" s="259"/>
      <c r="L79" s="259"/>
      <c r="M79" s="259"/>
      <c r="N79" s="259"/>
      <c r="O79" s="259"/>
      <c r="P79" s="260"/>
    </row>
    <row r="80" spans="1:16" x14ac:dyDescent="0.45">
      <c r="A80" s="35"/>
      <c r="B80" s="35"/>
      <c r="C80" s="15"/>
      <c r="D80" s="245" t="s">
        <v>259</v>
      </c>
      <c r="E80" s="259"/>
      <c r="F80" s="259"/>
      <c r="G80" s="259"/>
      <c r="H80" s="259"/>
      <c r="I80" s="259"/>
      <c r="J80" s="259"/>
      <c r="K80" s="259"/>
      <c r="L80" s="259"/>
      <c r="M80" s="259"/>
      <c r="N80" s="259"/>
      <c r="O80" s="259"/>
      <c r="P80" s="260"/>
    </row>
    <row r="81" spans="1:16" x14ac:dyDescent="0.45">
      <c r="A81" s="35"/>
      <c r="B81" s="35"/>
      <c r="C81" s="15"/>
      <c r="D81" s="245" t="s">
        <v>281</v>
      </c>
      <c r="E81" s="259"/>
      <c r="F81" s="259"/>
      <c r="G81" s="259"/>
      <c r="H81" s="259"/>
      <c r="I81" s="259"/>
      <c r="J81" s="259"/>
      <c r="K81" s="259"/>
      <c r="L81" s="259"/>
      <c r="M81" s="259"/>
      <c r="N81" s="259"/>
      <c r="O81" s="259"/>
      <c r="P81" s="260"/>
    </row>
    <row r="82" spans="1:16" x14ac:dyDescent="0.45">
      <c r="A82" s="35"/>
      <c r="B82" s="35"/>
      <c r="C82" s="15"/>
      <c r="D82" s="261" t="s">
        <v>298</v>
      </c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3"/>
    </row>
    <row r="83" spans="1:16" ht="15.75" thickBot="1" x14ac:dyDescent="0.5">
      <c r="A83" s="35"/>
      <c r="B83" s="35"/>
      <c r="C83" s="15"/>
      <c r="D83" s="256"/>
      <c r="E83" s="257"/>
      <c r="F83" s="257"/>
      <c r="G83" s="257"/>
      <c r="H83" s="257"/>
      <c r="I83" s="257"/>
      <c r="J83" s="257"/>
      <c r="K83" s="257"/>
      <c r="L83" s="257"/>
      <c r="M83" s="257"/>
      <c r="N83" s="257"/>
      <c r="O83" s="257"/>
      <c r="P83" s="258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22" t="s">
        <v>178</v>
      </c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</row>
    <row r="87" spans="1:16" ht="15.75" thickBot="1" x14ac:dyDescent="0.5">
      <c r="A87" s="57" t="s">
        <v>219</v>
      </c>
      <c r="B87" s="57">
        <v>15</v>
      </c>
      <c r="C87" s="69"/>
      <c r="D87" s="252" t="s">
        <v>257</v>
      </c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4"/>
    </row>
    <row r="88" spans="1:16" ht="15.75" thickBot="1" x14ac:dyDescent="0.5">
      <c r="A88" s="165" t="s">
        <v>215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217</v>
      </c>
      <c r="B90" s="49" t="s">
        <v>166</v>
      </c>
      <c r="C90" s="49" t="s">
        <v>117</v>
      </c>
      <c r="D90" s="222" t="s">
        <v>178</v>
      </c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</row>
    <row r="91" spans="1:16" ht="15.75" thickBot="1" x14ac:dyDescent="0.5">
      <c r="A91" s="49"/>
      <c r="B91" s="49">
        <v>13</v>
      </c>
      <c r="C91" s="70">
        <f>B91*2</f>
        <v>26</v>
      </c>
      <c r="D91" s="229" t="s">
        <v>260</v>
      </c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1"/>
    </row>
    <row r="92" spans="1:16" ht="35.25" customHeight="1" thickBot="1" x14ac:dyDescent="0.5">
      <c r="D92" s="232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218</v>
      </c>
      <c r="B94" s="49" t="s">
        <v>166</v>
      </c>
      <c r="C94" s="49" t="s">
        <v>117</v>
      </c>
      <c r="D94" s="222" t="s">
        <v>178</v>
      </c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</row>
    <row r="95" spans="1:16" ht="15.75" thickBot="1" x14ac:dyDescent="0.5">
      <c r="A95" s="49"/>
      <c r="B95" s="49"/>
      <c r="C95" s="70">
        <f>B95*4</f>
        <v>0</v>
      </c>
      <c r="D95" s="235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7"/>
    </row>
    <row r="96" spans="1:16" ht="15.75" thickBot="1" x14ac:dyDescent="0.5">
      <c r="D96" s="238"/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40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292.95999999999998</v>
      </c>
    </row>
  </sheetData>
  <sheetProtection algorithmName="SHA-512" hashValue="kCJhk8MXQYAMurUfbzxDA5yMZMgWlcmvmh/s1LDK4n1tEyBiROd58Ww81kJPNcJgyAIZ4nfJzTGT0sXI5a5OZA==" saltValue="9NmpvVj+gEzHicg21Bwlz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14:C24 K8:K24 I9:I24 G9:G24 E8:E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3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5" t="s">
        <v>241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7"/>
      <c r="C5" s="268" t="s">
        <v>221</v>
      </c>
      <c r="D5" s="269"/>
      <c r="E5" s="269"/>
      <c r="F5" s="269"/>
      <c r="G5" s="269"/>
      <c r="H5" s="269"/>
      <c r="I5" s="270"/>
      <c r="J5" s="17"/>
      <c r="K5" s="266" t="s">
        <v>222</v>
      </c>
      <c r="L5" s="266"/>
      <c r="M5" s="266"/>
      <c r="N5" s="266"/>
      <c r="O5" s="266"/>
      <c r="P5" s="266"/>
    </row>
    <row r="6" spans="1:16" s="11" customFormat="1" ht="18" thickBot="1" x14ac:dyDescent="0.55000000000000004">
      <c r="B6" s="267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56</v>
      </c>
      <c r="D7" s="41">
        <f t="shared" ref="D7:P7" si="0">SUM(D11:D30)</f>
        <v>0</v>
      </c>
      <c r="E7" s="41">
        <f t="shared" si="0"/>
        <v>0</v>
      </c>
      <c r="F7" s="41">
        <f t="shared" si="0"/>
        <v>2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3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6" t="s">
        <v>223</v>
      </c>
      <c r="D9" s="266"/>
      <c r="E9" s="266"/>
      <c r="F9" s="266"/>
      <c r="G9" s="266"/>
      <c r="H9" s="266"/>
      <c r="I9" s="40"/>
      <c r="K9" s="266" t="s">
        <v>224</v>
      </c>
      <c r="L9" s="266"/>
      <c r="M9" s="266"/>
      <c r="N9" s="266"/>
      <c r="O9" s="266"/>
      <c r="P9" s="266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11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248</v>
      </c>
      <c r="C12" s="71">
        <v>20</v>
      </c>
      <c r="D12" s="40"/>
      <c r="E12" s="40"/>
      <c r="F12" s="40">
        <v>1</v>
      </c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261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271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262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263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264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265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282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 t="s">
        <v>293</v>
      </c>
      <c r="C20" s="71">
        <v>0</v>
      </c>
      <c r="D20" s="40"/>
      <c r="E20" s="40"/>
      <c r="F20" s="40"/>
      <c r="G20" s="40"/>
      <c r="H20" s="40"/>
      <c r="I20" s="40"/>
      <c r="J20" s="33"/>
      <c r="K20" s="40">
        <v>1</v>
      </c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71" t="s">
        <v>233</v>
      </c>
      <c r="C33" s="272"/>
      <c r="D33" s="272"/>
      <c r="E33" s="272"/>
      <c r="F33" s="272"/>
      <c r="G33" s="273"/>
      <c r="H33" s="28"/>
    </row>
    <row r="34" spans="2:16" x14ac:dyDescent="0.5">
      <c r="B34" s="42" t="s">
        <v>180</v>
      </c>
      <c r="C34" s="42" t="s">
        <v>213</v>
      </c>
      <c r="D34" s="42" t="s">
        <v>225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247</v>
      </c>
      <c r="D35" s="42" t="s">
        <v>267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40" si="1">_xlfn.CONCAT(D36," en ",C36)</f>
        <v>Comida en Camerún</v>
      </c>
      <c r="C36" s="42" t="s">
        <v>248</v>
      </c>
      <c r="D36" s="42" t="s">
        <v>92</v>
      </c>
      <c r="E36" s="72">
        <v>65</v>
      </c>
      <c r="F36" s="156">
        <v>0</v>
      </c>
      <c r="G36" s="42" t="s">
        <v>10</v>
      </c>
    </row>
    <row r="37" spans="2:16" x14ac:dyDescent="0.5">
      <c r="B37" s="42" t="str">
        <f t="shared" si="1"/>
        <v>Exótico en África Este</v>
      </c>
      <c r="C37" s="42" t="s">
        <v>266</v>
      </c>
      <c r="D37" s="42" t="s">
        <v>267</v>
      </c>
      <c r="E37" s="72">
        <v>65</v>
      </c>
      <c r="F37" s="156">
        <v>0</v>
      </c>
      <c r="G37" s="42" t="s">
        <v>10</v>
      </c>
    </row>
    <row r="38" spans="2:16" s="192" customFormat="1" x14ac:dyDescent="0.5">
      <c r="B38" s="42" t="str">
        <f t="shared" si="1"/>
        <v>Hierro en China (Hebei)</v>
      </c>
      <c r="C38" s="42" t="s">
        <v>295</v>
      </c>
      <c r="D38" s="42" t="s">
        <v>96</v>
      </c>
      <c r="E38" s="72">
        <v>60</v>
      </c>
      <c r="F38" s="156">
        <v>0</v>
      </c>
      <c r="G38" s="42" t="s">
        <v>120</v>
      </c>
    </row>
    <row r="39" spans="2:16" s="183" customFormat="1" x14ac:dyDescent="0.5">
      <c r="B39" s="42" t="str">
        <f t="shared" si="1"/>
        <v>Hierro en Chile</v>
      </c>
      <c r="C39" s="42" t="s">
        <v>283</v>
      </c>
      <c r="D39" s="42" t="s">
        <v>96</v>
      </c>
      <c r="E39" s="72">
        <v>60</v>
      </c>
      <c r="F39" s="156">
        <v>0</v>
      </c>
      <c r="G39" s="42" t="s">
        <v>120</v>
      </c>
    </row>
    <row r="40" spans="2:16" x14ac:dyDescent="0.5">
      <c r="B40" s="42" t="str">
        <f t="shared" si="1"/>
        <v>Mat Prima en Camerún</v>
      </c>
      <c r="C40" s="42" t="s">
        <v>248</v>
      </c>
      <c r="D40" s="42" t="s">
        <v>278</v>
      </c>
      <c r="E40" s="72">
        <v>70</v>
      </c>
      <c r="F40" s="156">
        <v>0</v>
      </c>
      <c r="G40" s="42" t="s">
        <v>10</v>
      </c>
    </row>
    <row r="41" spans="2:16" x14ac:dyDescent="0.5">
      <c r="D41" s="264"/>
      <c r="E41" s="264"/>
      <c r="F41" s="13"/>
      <c r="G41" s="28"/>
    </row>
    <row r="42" spans="2:16" x14ac:dyDescent="0.5">
      <c r="D42" s="264"/>
      <c r="E42" s="264"/>
      <c r="F42" s="13"/>
      <c r="G42" s="28"/>
    </row>
    <row r="43" spans="2:16" x14ac:dyDescent="0.5">
      <c r="D43" s="264"/>
      <c r="E43" s="264"/>
      <c r="F43" s="13"/>
      <c r="G43" s="28"/>
    </row>
    <row r="44" spans="2:16" x14ac:dyDescent="0.5">
      <c r="D44" s="264"/>
      <c r="E44" s="264"/>
      <c r="F44" s="264"/>
      <c r="G44" s="14"/>
    </row>
    <row r="47" spans="2:16" x14ac:dyDescent="0.5">
      <c r="D47" s="264"/>
      <c r="E47" s="264"/>
      <c r="F47" s="264"/>
      <c r="G47" s="264"/>
      <c r="H47" s="264"/>
      <c r="I47" s="264"/>
      <c r="K47" s="264"/>
      <c r="L47" s="264"/>
      <c r="M47" s="264"/>
      <c r="N47" s="264"/>
      <c r="O47" s="264"/>
      <c r="P47" s="264"/>
    </row>
    <row r="51" spans="2:17" x14ac:dyDescent="0.5">
      <c r="D51" s="264"/>
      <c r="E51" s="264"/>
      <c r="F51" s="14"/>
      <c r="G51" s="28"/>
      <c r="I51" s="28"/>
    </row>
    <row r="52" spans="2:17" x14ac:dyDescent="0.5">
      <c r="D52" s="264"/>
      <c r="E52" s="264"/>
      <c r="F52" s="14"/>
      <c r="G52" s="28"/>
    </row>
    <row r="53" spans="2:17" x14ac:dyDescent="0.5">
      <c r="D53" s="264"/>
      <c r="E53" s="264"/>
      <c r="F53" s="14"/>
      <c r="G53" s="28"/>
    </row>
    <row r="54" spans="2:17" x14ac:dyDescent="0.5">
      <c r="D54" s="264"/>
      <c r="E54" s="264"/>
      <c r="F54" s="14"/>
      <c r="G54" s="28"/>
    </row>
    <row r="55" spans="2:17" x14ac:dyDescent="0.5">
      <c r="D55" s="264"/>
      <c r="E55" s="264"/>
      <c r="F55" s="13"/>
      <c r="G55" s="28"/>
      <c r="I55" s="28"/>
    </row>
    <row r="56" spans="2:17" x14ac:dyDescent="0.5">
      <c r="D56" s="264"/>
      <c r="E56" s="264"/>
      <c r="F56" s="13"/>
      <c r="G56" s="28"/>
    </row>
    <row r="57" spans="2:17" x14ac:dyDescent="0.5">
      <c r="D57" s="264"/>
      <c r="E57" s="264"/>
      <c r="F57" s="264"/>
      <c r="G57" s="14"/>
    </row>
    <row r="58" spans="2:17" x14ac:dyDescent="0.5">
      <c r="D58" s="28"/>
      <c r="G58" s="14"/>
      <c r="H58" s="28"/>
    </row>
    <row r="59" spans="2:17" ht="17.649999999999999" customHeight="1" x14ac:dyDescent="0.5">
      <c r="Q59" s="32"/>
    </row>
    <row r="60" spans="2:17" x14ac:dyDescent="0.5"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  <row r="61" spans="2:17" x14ac:dyDescent="0.5"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</row>
    <row r="63" spans="2:17" x14ac:dyDescent="0.5">
      <c r="B63" s="28"/>
      <c r="E63" s="28"/>
    </row>
    <row r="64" spans="2:17" x14ac:dyDescent="0.5">
      <c r="C64" s="28"/>
    </row>
    <row r="65" spans="4:17" x14ac:dyDescent="0.5">
      <c r="D65" s="264"/>
      <c r="E65" s="264"/>
      <c r="F65" s="264"/>
      <c r="G65" s="264"/>
      <c r="H65" s="264"/>
      <c r="I65" s="264"/>
      <c r="K65" s="264"/>
      <c r="L65" s="264"/>
      <c r="M65" s="264"/>
      <c r="N65" s="264"/>
      <c r="O65" s="264"/>
      <c r="P65" s="264"/>
    </row>
    <row r="68" spans="4:17" x14ac:dyDescent="0.5">
      <c r="D68" s="28"/>
    </row>
    <row r="69" spans="4:17" x14ac:dyDescent="0.5">
      <c r="D69" s="264"/>
      <c r="E69" s="264"/>
      <c r="F69" s="14"/>
      <c r="G69" s="28"/>
    </row>
    <row r="70" spans="4:17" x14ac:dyDescent="0.5">
      <c r="D70" s="264"/>
      <c r="E70" s="264"/>
      <c r="F70" s="14"/>
    </row>
    <row r="71" spans="4:17" x14ac:dyDescent="0.5">
      <c r="D71" s="264"/>
      <c r="E71" s="264"/>
      <c r="F71" s="13"/>
    </row>
    <row r="72" spans="4:17" x14ac:dyDescent="0.5">
      <c r="D72" s="264"/>
      <c r="E72" s="264"/>
      <c r="F72" s="13"/>
    </row>
    <row r="73" spans="4:17" x14ac:dyDescent="0.5">
      <c r="D73" s="264"/>
      <c r="E73" s="264"/>
      <c r="F73" s="264"/>
      <c r="G73" s="14"/>
    </row>
    <row r="74" spans="4:17" ht="17.649999999999999" customHeight="1" x14ac:dyDescent="0.5">
      <c r="Q74" s="34"/>
    </row>
    <row r="75" spans="4:17" x14ac:dyDescent="0.5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4:17" x14ac:dyDescent="0.5"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</row>
    <row r="79" spans="4:17" x14ac:dyDescent="0.5">
      <c r="E79" s="14"/>
    </row>
    <row r="80" spans="4:17" x14ac:dyDescent="0.5">
      <c r="D80" s="264"/>
      <c r="E80" s="264"/>
      <c r="F80" s="264"/>
      <c r="G80" s="264"/>
      <c r="H80" s="264"/>
      <c r="I80" s="264"/>
      <c r="K80" s="264"/>
      <c r="L80" s="264"/>
      <c r="M80" s="264"/>
      <c r="N80" s="264"/>
      <c r="O80" s="264"/>
      <c r="P80" s="264"/>
    </row>
    <row r="84" spans="4:16" x14ac:dyDescent="0.5">
      <c r="D84" s="264"/>
      <c r="E84" s="264"/>
    </row>
    <row r="85" spans="4:16" x14ac:dyDescent="0.5">
      <c r="D85" s="264"/>
      <c r="E85" s="264"/>
      <c r="F85" s="14"/>
    </row>
    <row r="88" spans="4:16" x14ac:dyDescent="0.5">
      <c r="E88" s="14"/>
      <c r="F88" s="28"/>
      <c r="J88" s="28"/>
    </row>
    <row r="89" spans="4:16" x14ac:dyDescent="0.5">
      <c r="D89" s="264"/>
      <c r="E89" s="264"/>
      <c r="F89" s="264"/>
      <c r="G89" s="264"/>
      <c r="H89" s="264"/>
      <c r="I89" s="264"/>
      <c r="K89" s="264"/>
      <c r="L89" s="264"/>
      <c r="M89" s="264"/>
      <c r="N89" s="264"/>
      <c r="O89" s="264"/>
      <c r="P89" s="264"/>
    </row>
    <row r="93" spans="4:16" x14ac:dyDescent="0.5">
      <c r="D93" s="264"/>
      <c r="E93" s="264"/>
      <c r="F93" s="14"/>
      <c r="H93" s="28"/>
    </row>
    <row r="94" spans="4:16" x14ac:dyDescent="0.5">
      <c r="D94" s="264"/>
      <c r="E94" s="264"/>
      <c r="F94" s="14"/>
    </row>
    <row r="95" spans="4:16" x14ac:dyDescent="0.5">
      <c r="D95" s="264"/>
      <c r="E95" s="264"/>
      <c r="F95" s="13"/>
    </row>
    <row r="96" spans="4:16" x14ac:dyDescent="0.5">
      <c r="D96" s="264"/>
      <c r="E96" s="264"/>
      <c r="F96" s="264"/>
      <c r="G96" s="14"/>
    </row>
    <row r="97" spans="2:17" ht="18.75" customHeight="1" x14ac:dyDescent="0.5"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</row>
    <row r="102" spans="2:17" x14ac:dyDescent="0.5">
      <c r="B102" s="28"/>
    </row>
    <row r="103" spans="2:17" x14ac:dyDescent="0.5">
      <c r="C103" s="28"/>
      <c r="I103" s="14"/>
    </row>
    <row r="105" spans="2:17" x14ac:dyDescent="0.5">
      <c r="E105" s="14"/>
      <c r="F105" s="28"/>
    </row>
    <row r="107" spans="2:17" x14ac:dyDescent="0.5">
      <c r="D107" s="264"/>
      <c r="E107" s="264"/>
      <c r="F107" s="14"/>
    </row>
    <row r="109" spans="2:17" x14ac:dyDescent="0.5">
      <c r="E109" s="14"/>
    </row>
    <row r="112" spans="2:17" x14ac:dyDescent="0.5">
      <c r="E112" s="14"/>
      <c r="F112" s="28"/>
    </row>
    <row r="113" spans="4:16" x14ac:dyDescent="0.5">
      <c r="D113" s="28"/>
    </row>
    <row r="114" spans="4:16" x14ac:dyDescent="0.5">
      <c r="D114" s="264"/>
      <c r="E114" s="264"/>
      <c r="F114" s="14"/>
      <c r="G114" s="28"/>
      <c r="I114" s="28"/>
    </row>
    <row r="115" spans="4:16" x14ac:dyDescent="0.5">
      <c r="D115" s="264"/>
      <c r="E115" s="264"/>
      <c r="F115" s="14"/>
      <c r="G115" s="28"/>
    </row>
    <row r="116" spans="4:16" x14ac:dyDescent="0.5">
      <c r="D116" s="264"/>
      <c r="E116" s="264"/>
      <c r="F116" s="14"/>
      <c r="G116" s="28"/>
    </row>
    <row r="117" spans="4:16" x14ac:dyDescent="0.5">
      <c r="D117" s="264"/>
      <c r="E117" s="264"/>
      <c r="F117" s="14"/>
      <c r="G117" s="14"/>
      <c r="I117" s="28"/>
    </row>
    <row r="118" spans="4:16" x14ac:dyDescent="0.5"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</row>
    <row r="119" spans="4:16" x14ac:dyDescent="0.5">
      <c r="E119" s="14"/>
      <c r="F119" s="28"/>
    </row>
    <row r="120" spans="4:16" x14ac:dyDescent="0.5">
      <c r="D120" s="264"/>
      <c r="E120" s="264"/>
    </row>
    <row r="121" spans="4:16" x14ac:dyDescent="0.5">
      <c r="D121" s="264"/>
      <c r="E121" s="264"/>
      <c r="F121" s="14"/>
      <c r="H121" s="28"/>
    </row>
    <row r="122" spans="4:16" x14ac:dyDescent="0.5">
      <c r="D122" s="264"/>
      <c r="E122" s="264"/>
      <c r="F122" s="264"/>
      <c r="G122" s="264"/>
      <c r="H122" s="264"/>
      <c r="I122" s="264"/>
      <c r="K122" s="264"/>
      <c r="L122" s="264"/>
      <c r="M122" s="264"/>
      <c r="N122" s="264"/>
      <c r="O122" s="264"/>
      <c r="P122" s="264"/>
    </row>
    <row r="125" spans="4:16" x14ac:dyDescent="0.5">
      <c r="G125" s="14"/>
    </row>
    <row r="126" spans="4:16" x14ac:dyDescent="0.5">
      <c r="G126" s="14"/>
    </row>
    <row r="127" spans="4:16" x14ac:dyDescent="0.5">
      <c r="E127" s="14"/>
      <c r="G127" s="14"/>
    </row>
    <row r="129" spans="2:7" x14ac:dyDescent="0.5">
      <c r="E129" s="14"/>
    </row>
    <row r="131" spans="2:7" x14ac:dyDescent="0.5">
      <c r="G131" s="14"/>
    </row>
    <row r="134" spans="2:7" x14ac:dyDescent="0.5">
      <c r="E134" s="14"/>
    </row>
    <row r="135" spans="2:7" x14ac:dyDescent="0.5">
      <c r="D135" s="264"/>
      <c r="E135" s="264"/>
    </row>
    <row r="136" spans="2:7" x14ac:dyDescent="0.5">
      <c r="D136" s="264"/>
      <c r="E136" s="264"/>
      <c r="F136" s="14"/>
    </row>
    <row r="138" spans="2:7" x14ac:dyDescent="0.5">
      <c r="B138" s="36"/>
    </row>
    <row r="139" spans="2:7" x14ac:dyDescent="0.5">
      <c r="B139" s="36"/>
      <c r="C139" s="36"/>
      <c r="F139" s="36"/>
    </row>
    <row r="140" spans="2:7" x14ac:dyDescent="0.5">
      <c r="B140" s="36"/>
      <c r="C140" s="36"/>
    </row>
    <row r="141" spans="2:7" x14ac:dyDescent="0.5">
      <c r="B141" s="36"/>
      <c r="C141" s="36"/>
    </row>
    <row r="142" spans="2:7" x14ac:dyDescent="0.5">
      <c r="B142" s="36"/>
      <c r="C142" s="36"/>
    </row>
    <row r="143" spans="2:7" x14ac:dyDescent="0.5">
      <c r="C143" s="36"/>
    </row>
    <row r="146" spans="2:16" x14ac:dyDescent="0.5">
      <c r="D146" s="28"/>
      <c r="K146" s="28"/>
    </row>
    <row r="147" spans="2:16" x14ac:dyDescent="0.5">
      <c r="B147" s="37"/>
      <c r="D147" s="264"/>
      <c r="E147" s="264"/>
      <c r="F147" s="264"/>
      <c r="G147" s="264"/>
      <c r="H147" s="264"/>
      <c r="I147" s="264"/>
      <c r="K147" s="264"/>
      <c r="L147" s="264"/>
      <c r="M147" s="264"/>
      <c r="N147" s="264"/>
      <c r="O147" s="264"/>
      <c r="P147" s="264"/>
    </row>
    <row r="148" spans="2:16" x14ac:dyDescent="0.5">
      <c r="C148" s="37"/>
    </row>
    <row r="152" spans="2:16" x14ac:dyDescent="0.5">
      <c r="D152" s="264"/>
      <c r="E152" s="264"/>
      <c r="F152" s="264"/>
      <c r="G152" s="264"/>
      <c r="H152" s="264"/>
      <c r="I152" s="264"/>
      <c r="K152" s="264"/>
      <c r="L152" s="264"/>
      <c r="M152" s="264"/>
      <c r="N152" s="264"/>
      <c r="O152" s="264"/>
      <c r="P152" s="264"/>
    </row>
    <row r="155" spans="2:16" x14ac:dyDescent="0.5">
      <c r="B155" s="28"/>
    </row>
    <row r="156" spans="2:16" x14ac:dyDescent="0.5">
      <c r="C156" s="28"/>
      <c r="D156" s="28"/>
      <c r="F156" s="38"/>
    </row>
    <row r="158" spans="2:16" x14ac:dyDescent="0.5"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</row>
    <row r="159" spans="2:16" x14ac:dyDescent="0.5">
      <c r="D159" s="264"/>
      <c r="E159" s="264"/>
      <c r="F159" s="264"/>
      <c r="G159" s="264"/>
      <c r="H159" s="264"/>
      <c r="I159" s="264"/>
      <c r="K159" s="264"/>
      <c r="L159" s="264"/>
      <c r="M159" s="264"/>
      <c r="N159" s="264"/>
      <c r="O159" s="264"/>
      <c r="P159" s="264"/>
    </row>
    <row r="163" spans="5:6" x14ac:dyDescent="0.5">
      <c r="E163" s="14"/>
      <c r="F163" s="28"/>
    </row>
  </sheetData>
  <sheetProtection algorithmName="SHA-512" hashValue="jwXA69S0iCMFMqKrldr182ZxEMWFtkk1cW84Bti/eaakvsSlhGTjiClQOiz6/XX6+GPW4OuVSyBVp+pGjlQrpA==" saltValue="P56Vts6rlE3rJawO8LSewA==" spinCount="100000" sheet="1" objects="1" scenarios="1"/>
  <mergeCells count="55">
    <mergeCell ref="D135:E135"/>
    <mergeCell ref="D121:E121"/>
    <mergeCell ref="D122:I122"/>
    <mergeCell ref="D152:I152"/>
    <mergeCell ref="K152:P152"/>
    <mergeCell ref="D147:I147"/>
    <mergeCell ref="K147:P147"/>
    <mergeCell ref="D136:E136"/>
    <mergeCell ref="D80:I80"/>
    <mergeCell ref="D115:E115"/>
    <mergeCell ref="D118:P118"/>
    <mergeCell ref="D116:E116"/>
    <mergeCell ref="D117:E117"/>
    <mergeCell ref="K80:P80"/>
    <mergeCell ref="D85:E85"/>
    <mergeCell ref="D84:E84"/>
    <mergeCell ref="D96:F96"/>
    <mergeCell ref="D89:I89"/>
    <mergeCell ref="K89:P89"/>
    <mergeCell ref="D93:E93"/>
    <mergeCell ref="D94:E94"/>
    <mergeCell ref="D95:E95"/>
    <mergeCell ref="D54:E54"/>
    <mergeCell ref="D72:E72"/>
    <mergeCell ref="D73:F73"/>
    <mergeCell ref="D55:E55"/>
    <mergeCell ref="D56:E56"/>
    <mergeCell ref="D57:F57"/>
    <mergeCell ref="D65:I65"/>
    <mergeCell ref="B1:P1"/>
    <mergeCell ref="K9:P9"/>
    <mergeCell ref="D41:E41"/>
    <mergeCell ref="D43:E43"/>
    <mergeCell ref="B5:B6"/>
    <mergeCell ref="K5:P5"/>
    <mergeCell ref="D42:E42"/>
    <mergeCell ref="C5:I5"/>
    <mergeCell ref="C9:H9"/>
    <mergeCell ref="B33:G33"/>
    <mergeCell ref="D159:I159"/>
    <mergeCell ref="K159:P159"/>
    <mergeCell ref="K122:P122"/>
    <mergeCell ref="D44:F44"/>
    <mergeCell ref="D47:I47"/>
    <mergeCell ref="K47:P47"/>
    <mergeCell ref="D51:E51"/>
    <mergeCell ref="K65:P65"/>
    <mergeCell ref="D69:E69"/>
    <mergeCell ref="D70:E70"/>
    <mergeCell ref="D71:E71"/>
    <mergeCell ref="D53:E53"/>
    <mergeCell ref="D107:E107"/>
    <mergeCell ref="D120:E120"/>
    <mergeCell ref="D114:E114"/>
    <mergeCell ref="D52:E5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G12" sqref="G12"/>
    </sheetView>
  </sheetViews>
  <sheetFormatPr defaultColWidth="9.1328125" defaultRowHeight="12.75" x14ac:dyDescent="0.35"/>
  <cols>
    <col min="4" max="4" width="10.796875" bestFit="1" customWidth="1"/>
    <col min="5" max="5" width="10.796875" style="26" customWidth="1"/>
    <col min="7" max="7" width="29.1328125" bestFit="1" customWidth="1"/>
  </cols>
  <sheetData>
    <row r="1" spans="1:9" x14ac:dyDescent="0.35">
      <c r="C1" s="75" t="s">
        <v>2</v>
      </c>
      <c r="D1" s="73">
        <f>SUM(D4:D46)</f>
        <v>21</v>
      </c>
      <c r="E1" s="184"/>
    </row>
    <row r="2" spans="1:9" s="26" customFormat="1" ht="13.15" thickBot="1" x14ac:dyDescent="0.4"/>
    <row r="3" spans="1:9" s="26" customFormat="1" x14ac:dyDescent="0.35">
      <c r="A3" s="282" t="s">
        <v>231</v>
      </c>
      <c r="B3" s="283"/>
      <c r="C3" s="283"/>
      <c r="D3" s="283"/>
      <c r="E3" s="284"/>
      <c r="G3" s="279" t="s">
        <v>232</v>
      </c>
      <c r="H3" s="280"/>
      <c r="I3" s="281"/>
    </row>
    <row r="4" spans="1:9" x14ac:dyDescent="0.35">
      <c r="A4" s="275" t="s">
        <v>226</v>
      </c>
      <c r="B4" s="276"/>
      <c r="C4" s="276"/>
      <c r="D4" s="73" t="s">
        <v>227</v>
      </c>
      <c r="E4" s="185" t="s">
        <v>284</v>
      </c>
      <c r="G4" s="78" t="s">
        <v>226</v>
      </c>
      <c r="H4" s="76" t="s">
        <v>117</v>
      </c>
      <c r="I4" s="79" t="s">
        <v>123</v>
      </c>
    </row>
    <row r="5" spans="1:9" x14ac:dyDescent="0.35">
      <c r="A5" s="275" t="s">
        <v>270</v>
      </c>
      <c r="B5" s="276"/>
      <c r="C5" s="276"/>
      <c r="D5" s="73">
        <v>0</v>
      </c>
      <c r="E5" s="186">
        <v>1892</v>
      </c>
      <c r="G5" s="78" t="s">
        <v>268</v>
      </c>
      <c r="H5" s="77">
        <v>45</v>
      </c>
      <c r="I5" s="79">
        <v>2</v>
      </c>
    </row>
    <row r="6" spans="1:9" x14ac:dyDescent="0.35">
      <c r="A6" s="275" t="s">
        <v>277</v>
      </c>
      <c r="B6" s="276"/>
      <c r="C6" s="276"/>
      <c r="D6" s="74">
        <v>12</v>
      </c>
      <c r="E6" s="186">
        <v>1894</v>
      </c>
      <c r="G6" s="78" t="s">
        <v>269</v>
      </c>
      <c r="H6" s="77">
        <v>35</v>
      </c>
      <c r="I6" s="79">
        <v>3</v>
      </c>
    </row>
    <row r="7" spans="1:9" x14ac:dyDescent="0.35">
      <c r="A7" s="275" t="s">
        <v>285</v>
      </c>
      <c r="B7" s="276"/>
      <c r="C7" s="276"/>
      <c r="D7" s="73">
        <v>0</v>
      </c>
      <c r="E7" s="186">
        <v>1895</v>
      </c>
      <c r="G7" s="193" t="s">
        <v>291</v>
      </c>
      <c r="H7" s="77">
        <v>50</v>
      </c>
      <c r="I7" s="79">
        <v>1</v>
      </c>
    </row>
    <row r="8" spans="1:9" x14ac:dyDescent="0.35">
      <c r="A8" s="275" t="s">
        <v>294</v>
      </c>
      <c r="B8" s="276"/>
      <c r="C8" s="276"/>
      <c r="D8" s="74">
        <v>9</v>
      </c>
      <c r="E8" s="186">
        <v>1895</v>
      </c>
      <c r="G8" s="78" t="s">
        <v>296</v>
      </c>
      <c r="H8" s="77">
        <v>50</v>
      </c>
      <c r="I8" s="79">
        <v>1</v>
      </c>
    </row>
    <row r="9" spans="1:9" x14ac:dyDescent="0.35">
      <c r="A9" s="275"/>
      <c r="B9" s="276"/>
      <c r="C9" s="276"/>
      <c r="D9" s="73"/>
      <c r="E9" s="186"/>
      <c r="G9" s="78" t="s">
        <v>299</v>
      </c>
      <c r="H9" s="77">
        <v>65</v>
      </c>
      <c r="I9" s="79">
        <v>2</v>
      </c>
    </row>
    <row r="10" spans="1:9" x14ac:dyDescent="0.35">
      <c r="A10" s="275"/>
      <c r="B10" s="276"/>
      <c r="C10" s="276"/>
      <c r="D10" s="74"/>
      <c r="E10" s="186"/>
      <c r="G10" s="78" t="s">
        <v>300</v>
      </c>
      <c r="H10" s="77">
        <v>65</v>
      </c>
      <c r="I10" s="79">
        <v>2</v>
      </c>
    </row>
    <row r="11" spans="1:9" x14ac:dyDescent="0.35">
      <c r="A11" s="275"/>
      <c r="B11" s="276"/>
      <c r="C11" s="276"/>
      <c r="D11" s="73"/>
      <c r="E11" s="186"/>
      <c r="G11" s="78"/>
      <c r="H11" s="77"/>
      <c r="I11" s="79"/>
    </row>
    <row r="12" spans="1:9" x14ac:dyDescent="0.35">
      <c r="A12" s="275"/>
      <c r="B12" s="276"/>
      <c r="C12" s="276"/>
      <c r="D12" s="73"/>
      <c r="E12" s="186"/>
      <c r="G12" s="78"/>
      <c r="H12" s="77"/>
      <c r="I12" s="79"/>
    </row>
    <row r="13" spans="1:9" x14ac:dyDescent="0.35">
      <c r="A13" s="275"/>
      <c r="B13" s="276"/>
      <c r="C13" s="276"/>
      <c r="D13" s="73"/>
      <c r="E13" s="186"/>
      <c r="G13" s="78"/>
      <c r="H13" s="77"/>
      <c r="I13" s="79"/>
    </row>
    <row r="14" spans="1:9" ht="13.15" thickBot="1" x14ac:dyDescent="0.4">
      <c r="A14" s="277"/>
      <c r="B14" s="278"/>
      <c r="C14" s="278"/>
      <c r="D14" s="187"/>
      <c r="E14" s="188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WeOakRsQOlmqqZdXE3jJ8j4zh2g3yvmE6okfCS20NGBgNFu3i77UxlgNHBFHqGakt4n3cqqNdUCN4s2hLF86uQ==" saltValue="6IOTHmASV4Wx0cAk6rdJE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5" t="s">
        <v>26</v>
      </c>
      <c r="P1" s="285" t="s">
        <v>29</v>
      </c>
      <c r="Q1" s="285" t="s">
        <v>30</v>
      </c>
    </row>
    <row r="2" spans="1:21" x14ac:dyDescent="0.5">
      <c r="I2" s="28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5"/>
      <c r="Q2" s="28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6" t="s">
        <v>45</v>
      </c>
      <c r="K11" s="286"/>
      <c r="L11" s="286"/>
      <c r="M11" s="286"/>
      <c r="N11" s="28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47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70.5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0.33</v>
      </c>
      <c r="P25" s="4">
        <f>IF(Econ!F79&lt;1,1,((O25-1)/Econ!E79))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2021-03-06T22:32:50Z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