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1E6962B3-6476-4B49-BA34-A2851F97FE30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2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<sst xmlns="http://schemas.openxmlformats.org/spreadsheetml/2006/main" count="643" uniqueCount="303">
  <si>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</si>
  <si>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</si>
  <si>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</si>
  <si>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</si>
  <si>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</si>
  <si>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</si>
  <si>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</si>
  <si>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</si>
  <si>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</si>
  <si>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</si>
  <si>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</si>
  <si>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</si>
  <si>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</si>
  <si>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</si>
  <si>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</si>
  <si>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</si>
  <si>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</si>
  <si>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</si>
  <si>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</si>
  <si>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</si>
  <si>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</si>
  <si>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</si>
  <si>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</si>
  <si>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</si>
  <si>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</si>
  <si>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</si>
  <si>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</si>
  <si>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</si>
  <si>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</si>
  <si>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</si>
  <si>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</si>
  <si>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</si>
  <si>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</si>
  <si>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</si>
  <si>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</si>
  <si>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</si>
  <si>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</si>
  <si>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</si>
  <si>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</si>
  <si>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</si>
  <si>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</si>
  <si>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</si>
  <si>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</si>
  <si>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</si>
  <si>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</si>
  <si>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</si>
  <si>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</si>
  <si>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</si>
  <si>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</si>
  <si>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</si>
  <si>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</si>
  <si>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</si>
  <si>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</si>
  <si>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</si>
  <si>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</si>
  <si>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</si>
  <si>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</si>
  <si>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</si>
  <si>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</si>
  <si>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</si>
  <si>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</si>
  <si>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</si>
  <si>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</si>
  <si>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</si>
  <si>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</si>
  <si>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</si>
  <si>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</si>
  <si>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</si>
  <si>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</si>
  <si>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</si>
  <si>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</si>
  <si>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</si>
  <si>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</si>
  <si>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</si>
  <si>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</si>
  <si>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</si>
  <si>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</si>
  <si>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</si>
  <si>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</si>
  <si>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</si>
  <si>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</si>
  <si>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</si>
  <si>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</si>
  <si>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</si>
  <si>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</si>
  <si>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</si>
  <si>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</si>
  <si>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</si>
  <si>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</si>
  <si>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</si>
  <si>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</si>
  <si>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</si>
  <si>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</si>
  <si>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</si>
  <si>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</si>
  <si>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</si>
  <si>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</si>
  <si>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</si>
  <si>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</si>
  <si>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</si>
  <si>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</si>
  <si>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</si>
  <si>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</si>
  <si>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</si>
  <si>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</si>
  <si>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</si>
  <si>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</si>
  <si>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</si>
  <si>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</si>
  <si>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</si>
  <si>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</si>
  <si>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</si>
  <si>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</si>
  <si>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</si>
  <si>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</si>
  <si>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</si>
  <si>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</si>
  <si>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</si>
  <si>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</si>
  <si>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</si>
  <si>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</si>
  <si>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</si>
  <si>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</si>
  <si>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</si>
  <si>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</si>
  <si>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</si>
  <si>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</si>
  <si>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</si>
  <si>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</si>
  <si>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</si>
  <si>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</si>
  <si>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</si>
  <si>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</si>
  <si>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</si>
  <si>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</si>
  <si>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</si>
  <si>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</si>
  <si>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</si>
  <si>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</si>
  <si>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</si>
  <si>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</si>
  <si>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</si>
  <si>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</si>
  <si>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</si>
  <si>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</si>
  <si>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</si>
  <si>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</si>
  <si>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</si>
  <si>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</si>
  <si>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</si>
  <si>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</si>
  <si>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</si>
  <si>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</si>
  <si>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</si>
  <si>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</si>
  <si>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</si>
  <si>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</si>
  <si>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</si>
  <si>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</si>
  <si>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</si>
  <si>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</si>
  <si>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</si>
  <si>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</si>
  <si>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</si>
  <si>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</si>
  <si>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</si>
  <si>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</si>
  <si>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</si>
  <si>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</si>
  <si>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</si>
  <si>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</si>
  <si>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</si>
  <si>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</si>
  <si>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</si>
  <si>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</si>
  <si>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</si>
  <si>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</si>
  <si>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</si>
  <si>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</si>
  <si>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</si>
  <si>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</si>
  <si>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</si>
  <si>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</si>
  <si>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</si>
  <si>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</si>
  <si>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</si>
  <si>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</si>
  <si>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</si>
  <si>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</si>
  <si>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</si>
  <si>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</si>
  <si>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</si>
  <si>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</si>
  <si>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</si>
  <si>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</si>
  <si>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</si>
  <si>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</si>
  <si>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</si>
  <si>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</si>
  <si>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</si>
  <si>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</si>
  <si>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</si>
  <si>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</si>
  <si>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</si>
  <si>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</si>
  <si>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</si>
  <si>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</si>
  <si>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</si>
  <si>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</si>
  <si>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</si>
  <si>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</si>
  <si>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</si>
  <si>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</si>
  <si>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</si>
  <si>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</si>
  <si>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</si>
  <si>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</si>
  <si>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</si>
  <si>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</si>
  <si>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</si>
  <si>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</si>
  <si>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</si>
  <si>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</si>
  <si>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</si>
  <si>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</si>
  <si>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</si>
  <si>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</si>
  <si>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</si>
  <si>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</si>
  <si>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</si>
  <si>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</si>
  <si>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</si>
  <si>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</si>
  <si>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</si>
  <si>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</si>
  <si>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</si>
  <si>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</si>
  <si>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</si>
  <si>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</si>
  <si>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</si>
  <si>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</si>
  <si>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</si>
  <si>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</si>
  <si>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</si>
  <si>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</si>
  <si>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</si>
  <si>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</si>
  <si>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</si>
  <si>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</si>
  <si>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</si>
  <si>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</si>
  <si>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</si>
  <si>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</si>
  <si>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</si>
  <si>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</si>
  <si>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</si>
  <si>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</si>
  <si>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</si>
  <si>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</si>
  <si>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</si>
  <si>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</si>
  <si>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</si>
  <si>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</si>
  <si>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</si>
  <si>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</si>
  <si>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</si>
  <si>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</si>
  <si>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</si>
  <si>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</si>
  <si>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</si>
  <si>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</si>
  <si>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</si>
  <si>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</si>
  <si>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</si>
  <si>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</si>
  <si>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</si>
  <si>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</si>
  <si>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</si>
  <si>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</si>
  <si>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</si>
  <si>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</si>
  <si>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</si>
  <si>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</si>
  <si>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</si>
  <si>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</si>
  <si>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</si>
  <si>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</si>
  <si>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</si>
  <si>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</si>
  <si>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</si>
  <si>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</si>
  <si>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</si>
  <si>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</si>
  <si>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</si>
  <si>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(Ac) Acorazados C</t>
  </si>
  <si>
    <t>(BM) Buques Menores C</t>
  </si>
  <si>
    <t>Atlantico Sur: Dakar, Cayenne (Guayana Francesa) , Pointe-Noire(Congo Francés)</t>
  </si>
  <si>
    <t>España (hasta 1894)</t>
  </si>
  <si>
    <t>Ver colonia</t>
  </si>
  <si>
    <t>Dakar-Bamako (Africa Oeste)</t>
  </si>
  <si>
    <t>2 Industrias en Bélgica, 1 en Congo Francés.</t>
  </si>
  <si>
    <t>Bélgica (hasta 1899)</t>
  </si>
  <si>
    <t>Argentina (hasta 1897)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</si>
</sst>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4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6" t="s">
        <v>232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8" ht="18" thickBot="1" x14ac:dyDescent="0.55000000000000004">
      <c r="A2" s="86" t="s">
        <v>9</v>
      </c>
      <c r="B2" s="86" t="s">
        <v>62</v>
      </c>
    </row>
    <row r="3" spans="1:18" ht="18" thickBot="1" x14ac:dyDescent="0.55000000000000004">
      <c r="A3" s="87" t="s">
        <v>64</v>
      </c>
      <c r="B3" s="87" t="s">
        <v>247</v>
      </c>
      <c r="G3" s="87" t="s">
        <v>79</v>
      </c>
      <c r="H3" s="87">
        <v>1894</v>
      </c>
    </row>
    <row r="4" spans="1:18" ht="18" thickBot="1" x14ac:dyDescent="0.55000000000000004">
      <c r="A4" s="87" t="s">
        <v>65</v>
      </c>
      <c r="B4" s="87">
        <v>37.880000000000003</v>
      </c>
      <c r="C4" s="88"/>
      <c r="G4" s="87" t="s">
        <v>80</v>
      </c>
      <c r="H4" s="87" t="s">
        <v>248</v>
      </c>
    </row>
    <row r="5" spans="1:18" ht="18" thickBot="1" x14ac:dyDescent="0.55000000000000004">
      <c r="A5" s="87" t="s">
        <v>66</v>
      </c>
      <c r="B5" s="89">
        <f>B4-Militar!P12</f>
        <v>27.660000000000004</v>
      </c>
    </row>
    <row r="6" spans="1:18" ht="18" thickBot="1" x14ac:dyDescent="0.55000000000000004">
      <c r="A6" s="87" t="s">
        <v>67</v>
      </c>
      <c r="B6" s="87" t="s">
        <v>73</v>
      </c>
    </row>
    <row r="7" spans="1:18" ht="18" thickBot="1" x14ac:dyDescent="0.55000000000000004">
      <c r="A7" s="193" t="s">
        <v>68</v>
      </c>
      <c r="B7" s="195"/>
      <c r="G7" s="210" t="s">
        <v>81</v>
      </c>
      <c r="H7" s="210"/>
      <c r="I7" s="90">
        <v>0</v>
      </c>
      <c r="J7" s="91"/>
    </row>
    <row r="8" spans="1:18" ht="18" thickBot="1" x14ac:dyDescent="0.55000000000000004">
      <c r="A8" s="87" t="s">
        <v>75</v>
      </c>
      <c r="B8" s="90">
        <f>(VLOOKUP(B6,Econ_chart,5,FALSE))*B5</f>
        <v>318.09000000000003</v>
      </c>
      <c r="C8" s="92"/>
      <c r="D8" s="182"/>
      <c r="G8" s="210" t="s">
        <v>82</v>
      </c>
      <c r="H8" s="210"/>
      <c r="I8" s="90">
        <f>I7*J13</f>
        <v>0</v>
      </c>
      <c r="R8" s="184"/>
    </row>
    <row r="9" spans="1:18" ht="18" thickBot="1" x14ac:dyDescent="0.55000000000000004">
      <c r="A9" s="87" t="s">
        <v>76</v>
      </c>
      <c r="B9" s="90">
        <f>Colonias!C7+Ferrocarriles!D1</f>
        <v>110</v>
      </c>
      <c r="C9" s="92"/>
      <c r="D9" s="182"/>
      <c r="E9" s="185"/>
      <c r="H9" s="87" t="s">
        <v>5</v>
      </c>
      <c r="I9" s="90">
        <f>SUM(I7:I8)</f>
        <v>0</v>
      </c>
      <c r="J9" s="93"/>
    </row>
    <row r="10" spans="1:18" ht="18" thickBot="1" x14ac:dyDescent="0.55000000000000004">
      <c r="A10" s="87" t="s">
        <v>77</v>
      </c>
      <c r="B10" s="90">
        <v>5</v>
      </c>
      <c r="E10" s="185"/>
    </row>
    <row r="11" spans="1:18" ht="18" thickBot="1" x14ac:dyDescent="0.55000000000000004">
      <c r="A11" s="87" t="s">
        <v>78</v>
      </c>
      <c r="B11" s="90">
        <f>Militar!O12</f>
        <v>95</v>
      </c>
      <c r="J11" s="94"/>
      <c r="K11" s="211"/>
    </row>
    <row r="12" spans="1:18" ht="19.5" customHeight="1" thickBot="1" x14ac:dyDescent="0.55000000000000004">
      <c r="A12" s="94"/>
      <c r="B12" s="95"/>
      <c r="C12" s="94"/>
      <c r="D12" s="211"/>
      <c r="G12" s="207"/>
      <c r="H12" s="207"/>
      <c r="I12" s="96"/>
      <c r="J12" s="87" t="s">
        <v>84</v>
      </c>
      <c r="K12" s="211"/>
    </row>
    <row r="13" spans="1:18" ht="18" thickBot="1" x14ac:dyDescent="0.55000000000000004">
      <c r="A13" s="94"/>
      <c r="B13" s="95"/>
      <c r="C13" s="94"/>
      <c r="D13" s="211"/>
      <c r="G13" s="210" t="s">
        <v>83</v>
      </c>
      <c r="H13" s="210"/>
      <c r="I13" s="87" t="s">
        <v>11</v>
      </c>
      <c r="J13" s="97">
        <v>0.15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103</v>
      </c>
      <c r="B15" s="90">
        <f>B8+B9+B10-B11</f>
        <v>338.09000000000003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6" t="s">
        <v>234</v>
      </c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138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12" t="s">
        <v>89</v>
      </c>
      <c r="J20" s="212"/>
      <c r="K20" s="212"/>
      <c r="L20" s="212"/>
      <c r="M20" s="212"/>
      <c r="N20" s="212"/>
    </row>
    <row r="21" spans="1:17" ht="18.399999999999999" thickTop="1" thickBot="1" x14ac:dyDescent="0.55000000000000004">
      <c r="A21" s="87" t="s">
        <v>85</v>
      </c>
      <c r="B21" s="87">
        <v>11</v>
      </c>
      <c r="C21" s="87">
        <v>15</v>
      </c>
      <c r="D21" s="87">
        <v>5</v>
      </c>
      <c r="E21" s="87">
        <v>0</v>
      </c>
      <c r="F21" s="87">
        <v>3</v>
      </c>
      <c r="G21" s="87">
        <v>2</v>
      </c>
      <c r="I21" s="99"/>
      <c r="J21" s="99"/>
      <c r="K21" s="212" t="s">
        <v>92</v>
      </c>
      <c r="L21" s="212"/>
      <c r="M21" s="212" t="s">
        <v>93</v>
      </c>
      <c r="N21" s="212"/>
    </row>
    <row r="22" spans="1:17" ht="18.399999999999999" thickTop="1" thickBot="1" x14ac:dyDescent="0.55000000000000004">
      <c r="A22" s="87" t="s">
        <v>86</v>
      </c>
      <c r="B22" s="87">
        <v>3</v>
      </c>
      <c r="C22" s="87">
        <v>0</v>
      </c>
      <c r="D22" s="87">
        <v>0</v>
      </c>
      <c r="E22" s="87">
        <v>4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14</v>
      </c>
      <c r="C23" s="87">
        <f t="shared" ref="C23:G23" si="0">SUM(C21:C22)</f>
        <v>15</v>
      </c>
      <c r="D23" s="87">
        <f t="shared" si="0"/>
        <v>5</v>
      </c>
      <c r="E23" s="87">
        <f t="shared" si="0"/>
        <v>4</v>
      </c>
      <c r="F23" s="87">
        <f t="shared" si="0"/>
        <v>3</v>
      </c>
      <c r="G23" s="87">
        <f t="shared" si="0"/>
        <v>2</v>
      </c>
      <c r="I23" s="99" t="s">
        <v>94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7.5760000000000005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-7.5760000000000005</v>
      </c>
      <c r="C25" s="103">
        <f>C21-C24</f>
        <v>-2</v>
      </c>
      <c r="D25" s="104">
        <f>D23</f>
        <v>5</v>
      </c>
      <c r="E25" s="103">
        <f>E23-E24</f>
        <v>-4</v>
      </c>
      <c r="F25" s="104">
        <f>F23</f>
        <v>3</v>
      </c>
      <c r="G25" s="104">
        <f>G23</f>
        <v>2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249</v>
      </c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300</v>
      </c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3" t="s">
        <v>101</v>
      </c>
      <c r="P29" s="213"/>
      <c r="Q29" s="213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3</v>
      </c>
      <c r="F32" s="180">
        <f>SUM(Colonias!H7)</f>
        <v>2</v>
      </c>
      <c r="G32" s="87">
        <f>SUM(Colonias!I7)</f>
        <v>1</v>
      </c>
    </row>
    <row r="33" spans="1:16" ht="18" thickBot="1" x14ac:dyDescent="0.55000000000000004">
      <c r="A33" s="87" t="s">
        <v>106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3</v>
      </c>
      <c r="E34" s="108">
        <f t="shared" si="5"/>
        <v>3</v>
      </c>
      <c r="F34" s="108">
        <f t="shared" si="5"/>
        <v>2</v>
      </c>
      <c r="G34" s="108">
        <f t="shared" si="5"/>
        <v>1</v>
      </c>
      <c r="H34" s="93" t="s">
        <v>224</v>
      </c>
    </row>
    <row r="35" spans="1:16" ht="18" thickBot="1" x14ac:dyDescent="0.55000000000000004">
      <c r="A35" s="87" t="s">
        <v>108</v>
      </c>
      <c r="B35" s="108">
        <f>B33-B51</f>
        <v>7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6" t="s">
        <v>233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</row>
    <row r="38" spans="1:16" ht="18" thickBot="1" x14ac:dyDescent="0.55000000000000004"/>
    <row r="39" spans="1:16" ht="18" thickBot="1" x14ac:dyDescent="0.55000000000000004">
      <c r="B39" s="193" t="s">
        <v>112</v>
      </c>
      <c r="C39" s="194"/>
      <c r="D39" s="195"/>
      <c r="J39" s="193" t="s">
        <v>113</v>
      </c>
      <c r="K39" s="194"/>
      <c r="L39" s="194"/>
      <c r="M39" s="195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137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137</v>
      </c>
    </row>
    <row r="41" spans="1:16" x14ac:dyDescent="0.5">
      <c r="A41" s="147" t="s">
        <v>302</v>
      </c>
      <c r="B41" s="148"/>
      <c r="C41" s="148"/>
      <c r="D41" s="148"/>
      <c r="E41" s="148"/>
      <c r="F41" s="148"/>
      <c r="G41" s="148"/>
      <c r="H41" s="148">
        <v>20</v>
      </c>
      <c r="J41" s="148"/>
      <c r="K41" s="148">
        <v>2</v>
      </c>
      <c r="L41" s="148"/>
      <c r="M41" s="148"/>
      <c r="N41" s="148"/>
      <c r="O41" s="148"/>
      <c r="P41" s="148"/>
    </row>
    <row r="42" spans="1:16" x14ac:dyDescent="0.5">
      <c r="A42" s="147" t="s">
        <v>301</v>
      </c>
      <c r="B42" s="148"/>
      <c r="C42" s="148"/>
      <c r="D42" s="148">
        <v>2</v>
      </c>
      <c r="E42" s="148"/>
      <c r="F42" s="148"/>
      <c r="G42" s="148"/>
      <c r="H42" s="148">
        <v>35</v>
      </c>
      <c r="J42" s="148">
        <v>1</v>
      </c>
      <c r="K42" s="148"/>
      <c r="L42" s="148"/>
      <c r="M42" s="148">
        <v>1</v>
      </c>
      <c r="N42" s="148"/>
      <c r="O42" s="148"/>
      <c r="P42" s="148">
        <v>20</v>
      </c>
    </row>
    <row r="43" spans="1:16" x14ac:dyDescent="0.5">
      <c r="A43" s="147" t="s">
        <v>297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/>
      <c r="M43" s="148"/>
      <c r="N43" s="148"/>
      <c r="O43" s="148">
        <v>1</v>
      </c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110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2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-65</v>
      </c>
      <c r="I53" s="87" t="s">
        <v>5</v>
      </c>
      <c r="J53" s="108">
        <f t="shared" ref="J53:O53" si="8">SUM(J41:J52)</f>
        <v>1</v>
      </c>
      <c r="K53" s="108">
        <f t="shared" si="8"/>
        <v>2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1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Colonias!D51</f>
        <v>0</v>
      </c>
      <c r="C55" s="87">
        <f>Colonias!E51</f>
        <v>0</v>
      </c>
      <c r="D55" s="87">
        <f>Colonias!F51</f>
        <v>0</v>
      </c>
      <c r="E55" s="87">
        <f>Colonias!G51</f>
        <v>0</v>
      </c>
      <c r="F55" s="87">
        <f>Colonias!H51</f>
        <v>0</v>
      </c>
      <c r="G55" s="87">
        <f>Colonias!I51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-6.5760000000000005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3</v>
      </c>
      <c r="G56" s="101">
        <f t="shared" si="9"/>
        <v>3</v>
      </c>
      <c r="H56" s="116">
        <f>B15+H53+P53</f>
        <v>293.09000000000003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136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137</v>
      </c>
      <c r="I59" s="85" t="s">
        <v>138</v>
      </c>
    </row>
    <row r="60" spans="1:17" ht="18" thickBot="1" x14ac:dyDescent="0.55000000000000004">
      <c r="A60" s="85" t="s">
        <v>116</v>
      </c>
      <c r="B60" s="148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8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-6.5760000000000005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3</v>
      </c>
      <c r="G64" s="101">
        <f>G56-G61-G62</f>
        <v>3</v>
      </c>
      <c r="H64" s="116">
        <f>H56-H63</f>
        <v>293.09000000000003</v>
      </c>
      <c r="I64" s="87">
        <f>B23-I60-I61-I62-I63</f>
        <v>14</v>
      </c>
    </row>
    <row r="66" spans="1:16" x14ac:dyDescent="0.5">
      <c r="A66" s="186" t="s">
        <v>140</v>
      </c>
      <c r="B66" s="186"/>
      <c r="C66" s="186"/>
      <c r="D66" s="186"/>
      <c r="E66" s="186"/>
      <c r="F66" s="186"/>
      <c r="G66" s="186"/>
      <c r="H66" s="186"/>
      <c r="I66" s="186"/>
      <c r="J66" s="186"/>
      <c r="K66" s="186"/>
      <c r="L66" s="186"/>
      <c r="M66" s="186"/>
      <c r="N66" s="186"/>
      <c r="O66" s="186"/>
      <c r="P66" s="186"/>
    </row>
    <row r="68" spans="1:16" ht="18" thickBot="1" x14ac:dyDescent="0.55000000000000004">
      <c r="A68" s="118" t="s">
        <v>239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8" t="s">
        <v>130</v>
      </c>
      <c r="B69" s="208" t="s">
        <v>120</v>
      </c>
      <c r="C69" s="208" t="s">
        <v>246</v>
      </c>
      <c r="D69" s="208" t="s">
        <v>129</v>
      </c>
      <c r="E69" s="198" t="s">
        <v>122</v>
      </c>
      <c r="F69" s="198" t="s">
        <v>121</v>
      </c>
      <c r="G69" s="196" t="s">
        <v>120</v>
      </c>
      <c r="H69" s="196" t="s">
        <v>124</v>
      </c>
    </row>
    <row r="70" spans="1:16" ht="18" thickBot="1" x14ac:dyDescent="0.55000000000000004">
      <c r="A70" s="209"/>
      <c r="B70" s="209"/>
      <c r="C70" s="209"/>
      <c r="D70" s="209"/>
      <c r="E70" s="199"/>
      <c r="F70" s="199"/>
      <c r="G70" s="197"/>
      <c r="H70" s="197"/>
    </row>
    <row r="71" spans="1:16" ht="18" thickBot="1" x14ac:dyDescent="0.55000000000000004">
      <c r="A71" s="87" t="s">
        <v>138</v>
      </c>
      <c r="B71" s="90">
        <v>80</v>
      </c>
      <c r="C71" s="97">
        <v>0.66</v>
      </c>
      <c r="D71" s="150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13</v>
      </c>
      <c r="I71" s="120"/>
    </row>
    <row r="72" spans="1:16" ht="18" thickBot="1" x14ac:dyDescent="0.55000000000000004">
      <c r="A72" s="151" t="s">
        <v>95</v>
      </c>
      <c r="B72" s="90">
        <v>55</v>
      </c>
      <c r="C72" s="97">
        <v>0</v>
      </c>
      <c r="D72" s="150" t="s">
        <v>13</v>
      </c>
      <c r="E72" s="97">
        <f t="shared" ref="E72:E80" si="10">IF(H72="Si",0.4,0.33)</f>
        <v>0.33</v>
      </c>
      <c r="F72" s="97" t="str">
        <f t="shared" ref="F72:F80" si="11">IF(D72="Si",(IF((C72+E72)&gt;1,1,(C72+E72)))," ")</f>
        <v xml:space="preserve"> </v>
      </c>
      <c r="G72" s="90" t="str">
        <f t="shared" ref="G72:G80" si="12">IF(D72="Continue",5,(IF(D72="Si",(IF((C72+E72)&gt;1,5,B72))," ")))</f>
        <v xml:space="preserve"> </v>
      </c>
      <c r="H72" s="176" t="s">
        <v>13</v>
      </c>
      <c r="I72" s="120"/>
    </row>
    <row r="73" spans="1:16" s="152" customFormat="1" ht="18" thickBot="1" x14ac:dyDescent="0.55000000000000004">
      <c r="A73" s="151" t="s">
        <v>98</v>
      </c>
      <c r="B73" s="90">
        <v>60</v>
      </c>
      <c r="C73" s="97">
        <v>0</v>
      </c>
      <c r="D73" s="150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0"/>
      <c r="L73" s="184"/>
    </row>
    <row r="74" spans="1:16" s="152" customFormat="1" ht="18" thickBot="1" x14ac:dyDescent="0.55000000000000004">
      <c r="A74" s="151" t="s">
        <v>99</v>
      </c>
      <c r="B74" s="90">
        <v>80</v>
      </c>
      <c r="C74" s="97">
        <v>0</v>
      </c>
      <c r="D74" s="150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0"/>
    </row>
    <row r="75" spans="1:16" s="152" customFormat="1" ht="18" thickBot="1" x14ac:dyDescent="0.55000000000000004">
      <c r="A75" s="151" t="s">
        <v>250</v>
      </c>
      <c r="B75" s="90">
        <v>70</v>
      </c>
      <c r="C75" s="97">
        <v>0</v>
      </c>
      <c r="D75" s="150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0"/>
    </row>
    <row r="76" spans="1:16" ht="18" thickBot="1" x14ac:dyDescent="0.55000000000000004">
      <c r="A76" s="147"/>
      <c r="B76" s="90" t="str">
        <f>IF(A76="","",VLOOKUP(A76,Colonias!$B$36:$E$52,4,FALSE))</f>
        <v/>
      </c>
      <c r="C76" s="97">
        <f>IF(A76="",0,VLOOKUP(A76,Colonias!$B$36:$F$52,5,FALSE))</f>
        <v>0</v>
      </c>
      <c r="D76" s="150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87" t="str">
        <f>IF(A76="","No",VLOOKUP(A76,Colonias!$B$36:$G$52,6,FALSE))</f>
        <v>No</v>
      </c>
      <c r="I76" s="88"/>
    </row>
    <row r="77" spans="1:16" ht="18" thickBot="1" x14ac:dyDescent="0.55000000000000004">
      <c r="A77" s="147"/>
      <c r="B77" s="90" t="str">
        <f>IF(A77="","",VLOOKUP(A77,Colonias!$B$36:$E$52,4,FALSE))</f>
        <v/>
      </c>
      <c r="C77" s="97">
        <f>IF(A77="",0,VLOOKUP(A77,Colonias!$B$36:$F$52,5,FALSE))</f>
        <v>0</v>
      </c>
      <c r="D77" s="150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81" t="str">
        <f>IF(A77="","No",VLOOKUP(A77,Colonias!$B$36:$G$52,6,FALSE))</f>
        <v>No</v>
      </c>
      <c r="I77" s="88"/>
    </row>
    <row r="78" spans="1:16" ht="18" thickBot="1" x14ac:dyDescent="0.55000000000000004">
      <c r="A78" s="147"/>
      <c r="B78" s="90" t="str">
        <f>IF(A78="","",VLOOKUP(A78,Colonias!$B$36:$E$52,4,FALSE))</f>
        <v/>
      </c>
      <c r="C78" s="97">
        <f>IF(A78="",0,VLOOKUP(A78,Colonias!$B$36:$F$52,5,FALSE))</f>
        <v>0</v>
      </c>
      <c r="D78" s="150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81" t="str">
        <f>IF(A78="","No",VLOOKUP(A78,Colonias!$B$36:$G$52,6,FALSE))</f>
        <v>No</v>
      </c>
      <c r="I78" s="88"/>
    </row>
    <row r="79" spans="1:16" ht="18" thickBot="1" x14ac:dyDescent="0.55000000000000004">
      <c r="A79" s="147"/>
      <c r="B79" s="90" t="str">
        <f>IF(A79="","",VLOOKUP(A79,Colonias!$B$36:$E$52,4,FALSE))</f>
        <v/>
      </c>
      <c r="C79" s="97">
        <f>IF(A79="",0,VLOOKUP(A79,Colonias!$B$36:$F$52,5,FALSE))</f>
        <v>0</v>
      </c>
      <c r="D79" s="150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81" t="str">
        <f>IF(A79="","No",VLOOKUP(A79,Colonias!$B$36:$G$52,6,FALSE))</f>
        <v>No</v>
      </c>
      <c r="I79" s="88"/>
    </row>
    <row r="80" spans="1:16" ht="18" thickBot="1" x14ac:dyDescent="0.55000000000000004">
      <c r="A80" s="147"/>
      <c r="B80" s="90" t="str">
        <f>IF(A80="","",VLOOKUP(A80,Colonias!$B$36:$E$52,4,FALSE))</f>
        <v/>
      </c>
      <c r="C80" s="97">
        <f>IF(A80="",0,VLOOKUP(A80,Colonias!$B$36:$F$52,5,FALSE))</f>
        <v>0</v>
      </c>
      <c r="D80" s="150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81" t="str">
        <f>IF(A80="","No",VLOOKUP(A80,Colonias!$B$36:$G$52,6,FALSE))</f>
        <v>No</v>
      </c>
      <c r="I80" s="88"/>
    </row>
    <row r="81" spans="1:8" ht="18" thickBot="1" x14ac:dyDescent="0.55000000000000004">
      <c r="B81" s="92"/>
      <c r="F81" s="121" t="s">
        <v>5</v>
      </c>
      <c r="G81" s="122">
        <f>SUM(G71:G80)</f>
        <v>0</v>
      </c>
    </row>
    <row r="82" spans="1:8" ht="18" thickBot="1" x14ac:dyDescent="0.55000000000000004">
      <c r="A82" s="123" t="s">
        <v>240</v>
      </c>
      <c r="B82" s="92"/>
      <c r="F82" s="94"/>
      <c r="G82" s="95"/>
    </row>
    <row r="83" spans="1:8" ht="18" thickBot="1" x14ac:dyDescent="0.55000000000000004">
      <c r="A83" s="87" t="s">
        <v>125</v>
      </c>
      <c r="B83" s="87" t="s">
        <v>120</v>
      </c>
      <c r="C83" s="87" t="s">
        <v>126</v>
      </c>
      <c r="D83" s="87" t="s">
        <v>129</v>
      </c>
      <c r="E83" s="87" t="s">
        <v>127</v>
      </c>
      <c r="F83" s="87" t="s">
        <v>120</v>
      </c>
      <c r="G83" s="95"/>
    </row>
    <row r="84" spans="1:8" ht="18" thickBot="1" x14ac:dyDescent="0.55000000000000004">
      <c r="A84" s="147"/>
      <c r="B84" s="90" t="str">
        <f>IF(A84="","",VLOOKUP(A84,Ferrocarriles!$F$5:$H$10,2,FALSE))</f>
        <v/>
      </c>
      <c r="C84" s="87" t="str">
        <f>IF(A84="","",VLOOKUP(A84,Ferrocarriles!$F$5:$H$10,3,FALSE))</f>
        <v/>
      </c>
      <c r="D84" s="158" t="s">
        <v>13</v>
      </c>
      <c r="E84" s="87">
        <f>IF(D84="Si",1,0)</f>
        <v>0</v>
      </c>
      <c r="F84" s="90">
        <f>IF(D84="Si",B84,0)</f>
        <v>0</v>
      </c>
      <c r="G84" s="124"/>
      <c r="H84" s="125"/>
    </row>
    <row r="85" spans="1:8" ht="18" thickBot="1" x14ac:dyDescent="0.55000000000000004">
      <c r="A85" s="147"/>
      <c r="B85" s="90" t="str">
        <f>IF(A85="","",VLOOKUP(A85,Ferrocarriles!$F$5:$H$10,2,FALSE))</f>
        <v/>
      </c>
      <c r="C85" s="151" t="str">
        <f>IF(A85="","",VLOOKUP(A85,Ferrocarriles!$F$5:$H$10,3,FALSE))</f>
        <v/>
      </c>
      <c r="D85" s="158" t="s">
        <v>13</v>
      </c>
      <c r="E85" s="87">
        <f t="shared" ref="E85:E87" si="13">IF(D85="Si",1,0)</f>
        <v>0</v>
      </c>
      <c r="F85" s="90">
        <f t="shared" ref="F85:F87" si="14">IF(D85="Si",B85,0)</f>
        <v>0</v>
      </c>
      <c r="G85" s="124"/>
      <c r="H85" s="125"/>
    </row>
    <row r="86" spans="1:8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13</v>
      </c>
      <c r="E86" s="87">
        <f t="shared" si="13"/>
        <v>0</v>
      </c>
      <c r="F86" s="90">
        <f t="shared" si="14"/>
        <v>0</v>
      </c>
      <c r="G86" s="124"/>
      <c r="H86" s="125"/>
    </row>
    <row r="87" spans="1:8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13</v>
      </c>
      <c r="E87" s="87">
        <f t="shared" si="13"/>
        <v>0</v>
      </c>
      <c r="F87" s="90">
        <f t="shared" si="14"/>
        <v>0</v>
      </c>
      <c r="G87" s="124"/>
      <c r="H87" s="125"/>
    </row>
    <row r="88" spans="1:8" ht="18" thickBot="1" x14ac:dyDescent="0.55000000000000004">
      <c r="B88" s="92"/>
      <c r="D88" s="87" t="s">
        <v>44</v>
      </c>
      <c r="E88" s="87">
        <f>SUM(E84:E87)</f>
        <v>0</v>
      </c>
      <c r="F88" s="90">
        <f>SUM(F84:F87)</f>
        <v>0</v>
      </c>
      <c r="G88" s="95"/>
    </row>
    <row r="89" spans="1:8" x14ac:dyDescent="0.5">
      <c r="B89" s="92"/>
      <c r="D89" s="94"/>
      <c r="E89" s="126" t="str">
        <f>IF(E88&gt;B62,"Need to build more HI points to complete this investment(s)"," ")</f>
        <v xml:space="preserve"> </v>
      </c>
      <c r="F89" s="94"/>
      <c r="G89" s="95"/>
    </row>
    <row r="90" spans="1:8" x14ac:dyDescent="0.5">
      <c r="B90" s="92"/>
      <c r="F90" s="94"/>
      <c r="G90" s="95"/>
    </row>
    <row r="91" spans="1:8" ht="18" thickBot="1" x14ac:dyDescent="0.55000000000000004">
      <c r="A91" s="123" t="s">
        <v>241</v>
      </c>
      <c r="B91" s="92"/>
      <c r="F91" s="92"/>
    </row>
    <row r="92" spans="1:8" ht="18" thickBot="1" x14ac:dyDescent="0.55000000000000004">
      <c r="A92" s="87" t="s">
        <v>128</v>
      </c>
      <c r="B92" s="87" t="s">
        <v>120</v>
      </c>
      <c r="F92" s="90" t="s">
        <v>120</v>
      </c>
      <c r="G92" s="87" t="s">
        <v>125</v>
      </c>
    </row>
    <row r="93" spans="1:8" ht="18" thickBot="1" x14ac:dyDescent="0.55000000000000004">
      <c r="A93" s="159"/>
      <c r="B93" s="160"/>
      <c r="C93" s="88"/>
      <c r="D93" s="120"/>
      <c r="F93" s="90">
        <f>B93</f>
        <v>0</v>
      </c>
      <c r="G93" s="158" t="s">
        <v>13</v>
      </c>
    </row>
    <row r="94" spans="1:8" ht="18" thickBot="1" x14ac:dyDescent="0.55000000000000004">
      <c r="A94" s="159"/>
      <c r="B94" s="160"/>
      <c r="C94" s="88"/>
      <c r="D94" s="114"/>
      <c r="F94" s="90">
        <f>B94</f>
        <v>0</v>
      </c>
      <c r="G94" s="158" t="s">
        <v>13</v>
      </c>
    </row>
    <row r="95" spans="1:8" ht="18" thickBot="1" x14ac:dyDescent="0.55000000000000004">
      <c r="A95" s="159"/>
      <c r="B95" s="160"/>
      <c r="C95" s="88"/>
      <c r="D95" s="125"/>
      <c r="F95" s="90">
        <f>B95</f>
        <v>0</v>
      </c>
      <c r="G95" s="158" t="s">
        <v>13</v>
      </c>
    </row>
    <row r="96" spans="1:8" ht="18" thickBot="1" x14ac:dyDescent="0.55000000000000004">
      <c r="A96" s="159"/>
      <c r="B96" s="160"/>
      <c r="C96" s="88"/>
      <c r="F96" s="90">
        <f>B96</f>
        <v>0</v>
      </c>
      <c r="G96" s="158" t="s">
        <v>13</v>
      </c>
    </row>
    <row r="97" spans="1:7" ht="18" thickBot="1" x14ac:dyDescent="0.55000000000000004">
      <c r="B97" s="92"/>
      <c r="E97" s="87" t="s">
        <v>6</v>
      </c>
      <c r="F97" s="116">
        <f>SUM(F93:F96)</f>
        <v>0</v>
      </c>
    </row>
    <row r="98" spans="1:7" x14ac:dyDescent="0.5">
      <c r="B98" s="92"/>
    </row>
    <row r="99" spans="1:7" ht="18" thickBot="1" x14ac:dyDescent="0.55000000000000004">
      <c r="A99" s="127" t="s">
        <v>238</v>
      </c>
      <c r="B99" s="92"/>
    </row>
    <row r="100" spans="1:7" ht="18" thickBot="1" x14ac:dyDescent="0.55000000000000004">
      <c r="C100" s="87" t="s">
        <v>132</v>
      </c>
      <c r="E100" s="87" t="s">
        <v>133</v>
      </c>
      <c r="F100" s="85" t="s">
        <v>9</v>
      </c>
    </row>
    <row r="101" spans="1:7" ht="18" thickBot="1" x14ac:dyDescent="0.55000000000000004">
      <c r="A101" s="87" t="s">
        <v>131</v>
      </c>
      <c r="B101" s="87" t="s">
        <v>120</v>
      </c>
      <c r="C101" s="87" t="s">
        <v>10</v>
      </c>
      <c r="D101" s="87" t="s">
        <v>129</v>
      </c>
      <c r="E101" s="87" t="s">
        <v>10</v>
      </c>
      <c r="F101" s="90" t="s">
        <v>120</v>
      </c>
    </row>
    <row r="102" spans="1:7" ht="18" thickBot="1" x14ac:dyDescent="0.55000000000000004">
      <c r="A102" s="87" t="s">
        <v>155</v>
      </c>
      <c r="B102" s="90">
        <v>30</v>
      </c>
      <c r="C102" s="97">
        <v>0.4</v>
      </c>
      <c r="D102" s="158" t="s">
        <v>13</v>
      </c>
      <c r="E102" s="97" t="str">
        <f>IF(D102="Si",(C102+0.2),IF(D102="Continue",(C102)," "))</f>
        <v xml:space="preserve"> </v>
      </c>
      <c r="F102" s="90" t="str">
        <f>IF(D102="Si",B102,IF(D102="Continue",5,""))</f>
        <v/>
      </c>
      <c r="G102" s="125"/>
    </row>
    <row r="103" spans="1:7" ht="18" thickBot="1" x14ac:dyDescent="0.55000000000000004">
      <c r="A103" s="87" t="s">
        <v>156</v>
      </c>
      <c r="B103" s="90">
        <v>30</v>
      </c>
      <c r="C103" s="97">
        <v>0</v>
      </c>
      <c r="D103" s="158" t="s">
        <v>13</v>
      </c>
      <c r="E103" s="97" t="str">
        <f t="shared" ref="E103:E110" si="15">IF(D103="Si",(C103+0.2),IF(D103="Continue",(C103)," "))</f>
        <v xml:space="preserve"> </v>
      </c>
      <c r="F103" s="90" t="str">
        <f t="shared" ref="F103:F110" si="16">IF(D103="Si",B103,IF(D103="Continue",5,""))</f>
        <v/>
      </c>
      <c r="G103" s="125"/>
    </row>
    <row r="104" spans="1:7" ht="18" thickBot="1" x14ac:dyDescent="0.55000000000000004">
      <c r="A104" s="87" t="s">
        <v>157</v>
      </c>
      <c r="B104" s="90">
        <v>30</v>
      </c>
      <c r="C104" s="97">
        <v>0</v>
      </c>
      <c r="D104" s="158" t="s">
        <v>13</v>
      </c>
      <c r="E104" s="97" t="str">
        <f t="shared" si="15"/>
        <v xml:space="preserve"> </v>
      </c>
      <c r="F104" s="90" t="str">
        <f t="shared" si="16"/>
        <v/>
      </c>
      <c r="G104" s="88"/>
    </row>
    <row r="105" spans="1:7" ht="18" thickBot="1" x14ac:dyDescent="0.55000000000000004">
      <c r="A105" s="87" t="s">
        <v>158</v>
      </c>
      <c r="B105" s="90">
        <v>30</v>
      </c>
      <c r="C105" s="97">
        <v>0</v>
      </c>
      <c r="D105" s="158" t="s">
        <v>13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294</v>
      </c>
      <c r="B106" s="90">
        <v>30</v>
      </c>
      <c r="C106" s="97">
        <v>0</v>
      </c>
      <c r="D106" s="158" t="s">
        <v>13</v>
      </c>
      <c r="E106" s="97" t="str">
        <f t="shared" si="15"/>
        <v xml:space="preserve"> </v>
      </c>
      <c r="F106" s="90" t="str">
        <f t="shared" si="16"/>
        <v/>
      </c>
      <c r="G106" s="125"/>
    </row>
    <row r="107" spans="1:7" ht="18" thickBot="1" x14ac:dyDescent="0.55000000000000004">
      <c r="A107" s="87" t="s">
        <v>159</v>
      </c>
      <c r="B107" s="90">
        <v>30</v>
      </c>
      <c r="C107" s="97">
        <v>0</v>
      </c>
      <c r="D107" s="158" t="s">
        <v>13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295</v>
      </c>
      <c r="B108" s="90">
        <v>30</v>
      </c>
      <c r="C108" s="97">
        <v>0.2</v>
      </c>
      <c r="D108" s="158" t="s">
        <v>13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160</v>
      </c>
      <c r="B109" s="90">
        <v>40</v>
      </c>
      <c r="C109" s="97">
        <v>0</v>
      </c>
      <c r="D109" s="158" t="s">
        <v>13</v>
      </c>
      <c r="E109" s="97" t="str">
        <f t="shared" si="15"/>
        <v xml:space="preserve"> </v>
      </c>
      <c r="F109" s="90" t="str">
        <f t="shared" si="16"/>
        <v/>
      </c>
      <c r="G109" s="88" t="str">
        <f t="shared" ref="G109" si="17">IF(D109="Continue","New roll to complete investment at current %"," ")</f>
        <v xml:space="preserve"> </v>
      </c>
    </row>
    <row r="110" spans="1:7" ht="18" thickBot="1" x14ac:dyDescent="0.55000000000000004">
      <c r="A110" s="87" t="s">
        <v>134</v>
      </c>
      <c r="B110" s="90">
        <v>40</v>
      </c>
      <c r="C110" s="97">
        <v>0</v>
      </c>
      <c r="D110" s="158" t="s">
        <v>13</v>
      </c>
      <c r="E110" s="97" t="str">
        <f t="shared" si="15"/>
        <v xml:space="preserve"> </v>
      </c>
      <c r="F110" s="90" t="str">
        <f t="shared" si="16"/>
        <v/>
      </c>
      <c r="G110" s="88"/>
    </row>
    <row r="111" spans="1:7" ht="18" thickBot="1" x14ac:dyDescent="0.55000000000000004">
      <c r="E111" s="128" t="s">
        <v>5</v>
      </c>
      <c r="F111" s="129">
        <f>SUM(F102:F109)</f>
        <v>0</v>
      </c>
      <c r="G111" s="88"/>
    </row>
    <row r="112" spans="1:7" ht="18" thickBot="1" x14ac:dyDescent="0.55000000000000004">
      <c r="D112" s="87"/>
      <c r="E112" s="130" t="s">
        <v>139</v>
      </c>
      <c r="F112" s="116">
        <f>H64-G81-F97-F111-F88</f>
        <v>293.09000000000003</v>
      </c>
    </row>
    <row r="114" spans="1:13" ht="18" thickBot="1" x14ac:dyDescent="0.55000000000000004">
      <c r="A114" s="118" t="s">
        <v>242</v>
      </c>
      <c r="B114" s="119"/>
      <c r="C114" s="119"/>
      <c r="D114" s="119"/>
      <c r="E114" s="119"/>
      <c r="F114" s="119"/>
      <c r="G114" s="119"/>
      <c r="H114" s="119"/>
      <c r="I114" s="119"/>
    </row>
    <row r="115" spans="1:13" ht="18" thickBot="1" x14ac:dyDescent="0.55000000000000004">
      <c r="A115" s="87" t="s">
        <v>135</v>
      </c>
      <c r="B115" s="87">
        <f>B62-E88</f>
        <v>0</v>
      </c>
      <c r="D115" s="87" t="s">
        <v>137</v>
      </c>
      <c r="E115" s="116">
        <f>F112</f>
        <v>293.09000000000003</v>
      </c>
    </row>
    <row r="116" spans="1:13" x14ac:dyDescent="0.5">
      <c r="A116" s="94"/>
      <c r="B116" s="126" t="str">
        <f>IF(B115&lt;0,"Not enough HI ava"," ")</f>
        <v xml:space="preserve"> </v>
      </c>
      <c r="D116" s="94"/>
      <c r="E116" s="96"/>
    </row>
    <row r="117" spans="1:13" ht="18" thickBot="1" x14ac:dyDescent="0.55000000000000004">
      <c r="B117" s="85" t="s">
        <v>127</v>
      </c>
    </row>
    <row r="118" spans="1:13" ht="18" thickBot="1" x14ac:dyDescent="0.55000000000000004">
      <c r="A118" s="87" t="s">
        <v>142</v>
      </c>
      <c r="B118" s="157">
        <v>0</v>
      </c>
    </row>
    <row r="119" spans="1:13" ht="18" thickBot="1" x14ac:dyDescent="0.55000000000000004">
      <c r="A119" s="87" t="s">
        <v>141</v>
      </c>
      <c r="B119" s="157">
        <v>0</v>
      </c>
    </row>
    <row r="120" spans="1:13" ht="18" thickBot="1" x14ac:dyDescent="0.55000000000000004">
      <c r="A120" s="87" t="s">
        <v>5</v>
      </c>
      <c r="B120" s="108">
        <f>B115-B118-B119</f>
        <v>0</v>
      </c>
      <c r="D120" s="85" t="str">
        <f>IF(B120&lt;0,"Total Exceeds ava HI points"," ")</f>
        <v xml:space="preserve"> </v>
      </c>
    </row>
    <row r="123" spans="1:13" ht="18" thickBot="1" x14ac:dyDescent="0.55000000000000004">
      <c r="A123" s="127" t="s">
        <v>142</v>
      </c>
    </row>
    <row r="124" spans="1:13" x14ac:dyDescent="0.5">
      <c r="A124" s="131" t="s">
        <v>143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205" t="s">
        <v>154</v>
      </c>
      <c r="L124" s="203" t="s">
        <v>120</v>
      </c>
    </row>
    <row r="125" spans="1:13" ht="18" thickBot="1" x14ac:dyDescent="0.55000000000000004">
      <c r="A125" s="133" t="s">
        <v>144</v>
      </c>
      <c r="B125" s="134">
        <f>B118*8</f>
        <v>0</v>
      </c>
      <c r="C125" s="134" t="s">
        <v>149</v>
      </c>
      <c r="D125" s="134" t="s">
        <v>151</v>
      </c>
      <c r="E125" s="134" t="s">
        <v>150</v>
      </c>
      <c r="F125" s="134" t="s">
        <v>151</v>
      </c>
      <c r="G125" s="134" t="s">
        <v>152</v>
      </c>
      <c r="H125" s="134" t="s">
        <v>151</v>
      </c>
      <c r="I125" s="134" t="s">
        <v>153</v>
      </c>
      <c r="J125" s="134" t="s">
        <v>151</v>
      </c>
      <c r="K125" s="206"/>
      <c r="L125" s="204"/>
    </row>
    <row r="126" spans="1:13" ht="18" thickBot="1" x14ac:dyDescent="0.55000000000000004">
      <c r="A126" s="87" t="s">
        <v>145</v>
      </c>
      <c r="B126" s="151" t="str">
        <f>IF(B118&gt;0, 8," ")</f>
        <v xml:space="preserve"> </v>
      </c>
      <c r="C126" s="157"/>
      <c r="D126" s="158"/>
      <c r="E126" s="157"/>
      <c r="F126" s="158"/>
      <c r="G126" s="157"/>
      <c r="H126" s="158"/>
      <c r="I126" s="157"/>
      <c r="J126" s="158"/>
      <c r="K126" s="87">
        <f>C126+E126+(G126*2)+(I126*4)</f>
        <v>0</v>
      </c>
      <c r="L126" s="116">
        <f>Data!Q3</f>
        <v>0</v>
      </c>
      <c r="M126" s="93" t="str">
        <f>IF(K126&gt;8,"Need to reduce number of weapons ordered"," ")</f>
        <v xml:space="preserve"> </v>
      </c>
    </row>
    <row r="127" spans="1:13" ht="18" thickBot="1" x14ac:dyDescent="0.55000000000000004">
      <c r="A127" s="87" t="s">
        <v>146</v>
      </c>
      <c r="B127" s="151" t="str">
        <f>IF(B118&gt;1,8,"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Data!Q4</f>
        <v>0</v>
      </c>
      <c r="M127" s="93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7" t="s">
        <v>147</v>
      </c>
      <c r="B128" s="151" t="str">
        <f>IF(B118&gt;2,8,"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Data!Q5</f>
        <v>0</v>
      </c>
      <c r="M128" s="93" t="str">
        <f t="shared" si="18"/>
        <v xml:space="preserve"> </v>
      </c>
    </row>
    <row r="129" spans="1:13" ht="18" thickBot="1" x14ac:dyDescent="0.55000000000000004">
      <c r="A129" s="87" t="s">
        <v>148</v>
      </c>
      <c r="B129" s="151" t="str">
        <f>IF(B118&gt;3,8,"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Data!Q6</f>
        <v>0</v>
      </c>
      <c r="M129" s="93" t="str">
        <f t="shared" si="18"/>
        <v xml:space="preserve"> </v>
      </c>
    </row>
    <row r="130" spans="1:13" ht="18" thickBot="1" x14ac:dyDescent="0.55000000000000004">
      <c r="K130" s="87" t="s">
        <v>5</v>
      </c>
      <c r="L130" s="116">
        <f>SUM(L126:L129)</f>
        <v>0</v>
      </c>
    </row>
    <row r="131" spans="1:13" x14ac:dyDescent="0.5">
      <c r="A131" s="85" t="s">
        <v>9</v>
      </c>
    </row>
    <row r="132" spans="1:13" x14ac:dyDescent="0.5">
      <c r="B132" s="119"/>
      <c r="C132" s="119"/>
      <c r="D132" s="119"/>
      <c r="E132" s="119"/>
      <c r="F132" s="119"/>
      <c r="G132" s="119"/>
      <c r="H132" s="119"/>
      <c r="I132" s="119"/>
    </row>
    <row r="133" spans="1:13" ht="18" thickBot="1" x14ac:dyDescent="0.55000000000000004">
      <c r="A133" s="118" t="s">
        <v>166</v>
      </c>
      <c r="B133" s="135"/>
      <c r="C133" s="135"/>
      <c r="D133" s="135"/>
      <c r="E133" s="135"/>
      <c r="F133" s="94"/>
      <c r="G133" s="94"/>
    </row>
    <row r="134" spans="1:13" ht="18" thickBot="1" x14ac:dyDescent="0.55000000000000004">
      <c r="A134" s="207"/>
      <c r="B134" s="207"/>
      <c r="C134" s="135"/>
      <c r="D134" s="87" t="s">
        <v>161</v>
      </c>
      <c r="E134" s="87" t="s">
        <v>162</v>
      </c>
      <c r="F134" s="87" t="s">
        <v>163</v>
      </c>
      <c r="G134" s="87" t="s">
        <v>164</v>
      </c>
      <c r="H134" s="87" t="s">
        <v>120</v>
      </c>
      <c r="I134" s="87" t="s">
        <v>165</v>
      </c>
    </row>
    <row r="135" spans="1:13" ht="18" thickBot="1" x14ac:dyDescent="0.55000000000000004">
      <c r="A135" s="207"/>
      <c r="B135" s="207"/>
      <c r="C135" s="135"/>
      <c r="D135" s="161">
        <v>0</v>
      </c>
      <c r="E135" s="161">
        <v>0</v>
      </c>
      <c r="F135" s="161">
        <v>0</v>
      </c>
      <c r="G135" s="161">
        <v>0</v>
      </c>
      <c r="H135" s="90">
        <f>(D135*Data!Q17)+(Data!Q18*E135)+(F135*Data!Q17)+(G135*Data!Q17)</f>
        <v>0</v>
      </c>
      <c r="I135" s="87">
        <f>(D135+E135+F135+G135)*200000</f>
        <v>0</v>
      </c>
    </row>
    <row r="138" spans="1:13" x14ac:dyDescent="0.5">
      <c r="A138" s="119"/>
      <c r="B138" s="119"/>
      <c r="C138" s="119"/>
      <c r="D138" s="119"/>
      <c r="E138" s="119"/>
      <c r="F138" s="119"/>
      <c r="G138" s="119"/>
      <c r="H138" s="119"/>
      <c r="I138" s="119"/>
    </row>
    <row r="139" spans="1:13" ht="18" thickBot="1" x14ac:dyDescent="0.55000000000000004">
      <c r="A139" s="123" t="s">
        <v>141</v>
      </c>
    </row>
    <row r="140" spans="1:13" ht="18" thickBot="1" x14ac:dyDescent="0.55000000000000004">
      <c r="A140" s="87" t="s">
        <v>167</v>
      </c>
      <c r="B140" s="87">
        <f>B119*20</f>
        <v>0</v>
      </c>
    </row>
    <row r="141" spans="1:13" ht="18" thickBot="1" x14ac:dyDescent="0.55000000000000004"/>
    <row r="142" spans="1:13" x14ac:dyDescent="0.5">
      <c r="A142" s="131"/>
      <c r="B142" s="132"/>
      <c r="C142" s="132"/>
      <c r="D142" s="132"/>
      <c r="E142" s="132"/>
      <c r="F142" s="205" t="s">
        <v>171</v>
      </c>
      <c r="G142" s="136"/>
    </row>
    <row r="143" spans="1:13" ht="18" thickBot="1" x14ac:dyDescent="0.55000000000000004">
      <c r="A143" s="133" t="s">
        <v>168</v>
      </c>
      <c r="B143" s="134" t="s">
        <v>169</v>
      </c>
      <c r="C143" s="134" t="s">
        <v>126</v>
      </c>
      <c r="D143" s="134" t="s">
        <v>170</v>
      </c>
      <c r="E143" s="134" t="s">
        <v>151</v>
      </c>
      <c r="F143" s="206"/>
      <c r="G143" s="137" t="s">
        <v>120</v>
      </c>
    </row>
    <row r="144" spans="1:13" ht="18" thickBot="1" x14ac:dyDescent="0.55000000000000004">
      <c r="A144" s="158"/>
      <c r="B144" s="87" t="str">
        <f t="shared" ref="B144:B149" si="19">IF(A144&gt;" ",(VLOOKUP(A144,Ship_size,2,FALSE))," ")</f>
        <v xml:space="preserve"> </v>
      </c>
      <c r="C144" s="87" t="str">
        <f t="shared" ref="C144:C149" si="20">IF(A144&gt;" ",(VLOOKUP(A144,Ship_size,3,FALSE))," ")</f>
        <v xml:space="preserve"> </v>
      </c>
      <c r="D144" s="158"/>
      <c r="E144" s="158"/>
      <c r="F144" s="87">
        <f>IF(A144&gt;" ",(B144*D144),0)</f>
        <v>0</v>
      </c>
      <c r="G144" s="116">
        <f>IF(A144&gt;" ",(VLOOKUP(A144,Ship_size,Data!E40,FALSE)*D144),0)</f>
        <v>0</v>
      </c>
      <c r="H144" s="88"/>
    </row>
    <row r="145" spans="1:8" ht="18" thickBot="1" x14ac:dyDescent="0.55000000000000004">
      <c r="A145" s="158"/>
      <c r="B145" s="87" t="str">
        <f t="shared" si="19"/>
        <v xml:space="preserve"> </v>
      </c>
      <c r="C145" s="87" t="str">
        <f t="shared" si="20"/>
        <v xml:space="preserve"> </v>
      </c>
      <c r="D145" s="158"/>
      <c r="E145" s="158"/>
      <c r="F145" s="87">
        <f t="shared" ref="F145:F147" si="21">IF(A145&gt;" ",(B145*D145),0)</f>
        <v>0</v>
      </c>
      <c r="G145" s="116">
        <f>IF(A145&gt;" ",(VLOOKUP(A145,Ship_size,Data!E41,FALSE)*D145),0)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si="21"/>
        <v>0</v>
      </c>
      <c r="G146" s="116">
        <f>IF(A146&gt;" ",(VLOOKUP(A146,Ship_size,Data!E42,FALSE)*D146),0)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",(VLOOKUP(A147,Ship_size,Data!E43,FALSE)*D147),0)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ref="F148:F149" si="22">IF(A148&gt;" ",(B148*D148),0)</f>
        <v>0</v>
      </c>
      <c r="G148" s="116">
        <f>IF(A148&gt;" ",(VLOOKUP(A148,Ship_size,Data!E44,FALSE)*D148),0)</f>
        <v>0</v>
      </c>
      <c r="H148" s="13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si="22"/>
        <v>0</v>
      </c>
      <c r="G149" s="116">
        <f>IF(A149&gt;" ",(VLOOKUP(A149,Ship_size,Data!E45,FALSE)*D149),0)</f>
        <v>0</v>
      </c>
    </row>
    <row r="150" spans="1:8" ht="18" thickBot="1" x14ac:dyDescent="0.55000000000000004">
      <c r="C150" s="139" t="s">
        <v>9</v>
      </c>
      <c r="D150" s="140" t="s">
        <v>9</v>
      </c>
      <c r="E150" s="87" t="s">
        <v>5</v>
      </c>
      <c r="F150" s="87">
        <f>SUM(F144:F149)</f>
        <v>0</v>
      </c>
      <c r="G150" s="116">
        <f>SUM(G144:G149)</f>
        <v>0</v>
      </c>
      <c r="H150" s="93" t="str">
        <f>IF(F150&gt;B140,"Ship sizes used exceeds number of ship sizes ava"," ")</f>
        <v xml:space="preserve"> </v>
      </c>
    </row>
    <row r="152" spans="1:8" ht="18" thickBot="1" x14ac:dyDescent="0.55000000000000004">
      <c r="A152" s="85" t="s">
        <v>9</v>
      </c>
    </row>
    <row r="153" spans="1:8" x14ac:dyDescent="0.5">
      <c r="A153" s="131"/>
      <c r="B153" s="132"/>
      <c r="C153" s="132"/>
      <c r="D153" s="132"/>
      <c r="E153" s="132"/>
      <c r="F153" s="205"/>
      <c r="G153" s="136"/>
    </row>
    <row r="154" spans="1:8" ht="18" thickBot="1" x14ac:dyDescent="0.55000000000000004">
      <c r="A154" s="133" t="s">
        <v>178</v>
      </c>
      <c r="B154" s="134" t="s">
        <v>151</v>
      </c>
      <c r="C154" s="134" t="s">
        <v>170</v>
      </c>
      <c r="D154" s="141" t="s">
        <v>179</v>
      </c>
      <c r="E154" s="134"/>
      <c r="F154" s="206"/>
      <c r="G154" s="137"/>
    </row>
    <row r="155" spans="1:8" ht="18" thickBot="1" x14ac:dyDescent="0.55000000000000004">
      <c r="A155" s="87"/>
      <c r="B155" s="87"/>
      <c r="C155" s="87"/>
      <c r="D155" s="8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F159" s="87" t="s">
        <v>5</v>
      </c>
      <c r="G159" s="90">
        <v>0</v>
      </c>
    </row>
    <row r="161" spans="1:14" ht="18" thickBot="1" x14ac:dyDescent="0.55000000000000004">
      <c r="A161" s="142" t="s">
        <v>180</v>
      </c>
      <c r="B161" s="143"/>
      <c r="C161" s="143"/>
      <c r="D161" s="143"/>
      <c r="E161" s="143"/>
      <c r="F161" s="143"/>
      <c r="G161" s="143"/>
    </row>
    <row r="162" spans="1:14" ht="18" thickBot="1" x14ac:dyDescent="0.55000000000000004">
      <c r="A162" s="144" t="s">
        <v>182</v>
      </c>
      <c r="B162" s="144" t="s">
        <v>181</v>
      </c>
      <c r="C162" s="144" t="s">
        <v>120</v>
      </c>
    </row>
    <row r="163" spans="1:14" ht="18" thickBot="1" x14ac:dyDescent="0.55000000000000004">
      <c r="A163" s="162"/>
      <c r="B163" s="162"/>
      <c r="C163" s="116" t="str">
        <f>IF(B163&gt;0,(VLOOKUP(B163,MilitaryB_cost,2,FALSE))," ")</f>
        <v xml:space="preserve"> 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B167" s="87" t="s">
        <v>44</v>
      </c>
      <c r="C167" s="116">
        <f>SUM(C163:C166)</f>
        <v>0</v>
      </c>
    </row>
    <row r="170" spans="1:14" x14ac:dyDescent="0.5">
      <c r="B170" s="119"/>
      <c r="C170" s="119"/>
      <c r="D170" s="119"/>
      <c r="E170" s="119"/>
      <c r="F170" s="119"/>
      <c r="G170" s="119"/>
      <c r="H170" s="119"/>
      <c r="I170" s="119"/>
    </row>
    <row r="171" spans="1:14" ht="18" thickBot="1" x14ac:dyDescent="0.55000000000000004">
      <c r="A171" s="118" t="s">
        <v>183</v>
      </c>
    </row>
    <row r="172" spans="1:14" ht="18" thickBot="1" x14ac:dyDescent="0.55000000000000004">
      <c r="A172" s="193" t="s">
        <v>184</v>
      </c>
      <c r="B172" s="194"/>
      <c r="C172" s="194"/>
      <c r="D172" s="194"/>
      <c r="E172" s="194"/>
      <c r="F172" s="195"/>
      <c r="G172" s="145" t="s">
        <v>185</v>
      </c>
      <c r="N172" s="146"/>
    </row>
    <row r="173" spans="1:14" ht="19.5" customHeight="1" thickBot="1" x14ac:dyDescent="0.55000000000000004">
      <c r="A173" s="187"/>
      <c r="B173" s="188"/>
      <c r="C173" s="188"/>
      <c r="D173" s="188"/>
      <c r="E173" s="188"/>
      <c r="F173" s="189"/>
      <c r="G173" s="160"/>
    </row>
    <row r="174" spans="1:14" ht="18" thickBot="1" x14ac:dyDescent="0.55000000000000004">
      <c r="A174" s="187"/>
      <c r="B174" s="188"/>
      <c r="C174" s="188"/>
      <c r="D174" s="188"/>
      <c r="E174" s="188"/>
      <c r="F174" s="189"/>
      <c r="G174" s="160"/>
    </row>
    <row r="175" spans="1:14" ht="19.5" customHeight="1" thickBot="1" x14ac:dyDescent="0.55000000000000004">
      <c r="A175" s="187"/>
      <c r="B175" s="188"/>
      <c r="C175" s="188"/>
      <c r="D175" s="188"/>
      <c r="E175" s="188"/>
      <c r="F175" s="189"/>
      <c r="G175" s="160"/>
    </row>
    <row r="176" spans="1:14" ht="19.5" customHeight="1" thickBot="1" x14ac:dyDescent="0.55000000000000004">
      <c r="A176" s="187"/>
      <c r="B176" s="188"/>
      <c r="C176" s="188"/>
      <c r="D176" s="188"/>
      <c r="E176" s="188"/>
      <c r="F176" s="189"/>
      <c r="G176" s="160"/>
    </row>
    <row r="177" spans="1:7" ht="19.5" customHeight="1" thickBot="1" x14ac:dyDescent="0.55000000000000004">
      <c r="A177" s="187"/>
      <c r="B177" s="188"/>
      <c r="C177" s="188"/>
      <c r="D177" s="188"/>
      <c r="E177" s="188"/>
      <c r="F177" s="189"/>
      <c r="G177" s="160"/>
    </row>
    <row r="178" spans="1:7" ht="19.5" customHeight="1" thickBot="1" x14ac:dyDescent="0.55000000000000004">
      <c r="A178" s="187"/>
      <c r="B178" s="188"/>
      <c r="C178" s="188"/>
      <c r="D178" s="188"/>
      <c r="E178" s="188"/>
      <c r="F178" s="189"/>
      <c r="G178" s="160"/>
    </row>
    <row r="179" spans="1:7" ht="19.5" customHeight="1" thickBot="1" x14ac:dyDescent="0.55000000000000004">
      <c r="A179" s="187"/>
      <c r="B179" s="188"/>
      <c r="C179" s="188"/>
      <c r="D179" s="188"/>
      <c r="E179" s="188"/>
      <c r="F179" s="189"/>
      <c r="G179" s="160"/>
    </row>
    <row r="180" spans="1:7" ht="19.5" customHeight="1" thickBot="1" x14ac:dyDescent="0.55000000000000004">
      <c r="A180" s="187"/>
      <c r="B180" s="188"/>
      <c r="C180" s="188"/>
      <c r="D180" s="188"/>
      <c r="E180" s="188"/>
      <c r="F180" s="189"/>
      <c r="G180" s="160"/>
    </row>
    <row r="181" spans="1:7" ht="19.5" customHeight="1" thickBot="1" x14ac:dyDescent="0.55000000000000004">
      <c r="A181" s="187"/>
      <c r="B181" s="188"/>
      <c r="C181" s="188"/>
      <c r="D181" s="188"/>
      <c r="E181" s="188"/>
      <c r="F181" s="189"/>
      <c r="G181" s="160"/>
    </row>
    <row r="182" spans="1:7" ht="19.5" customHeight="1" thickBot="1" x14ac:dyDescent="0.55000000000000004">
      <c r="A182" s="187"/>
      <c r="B182" s="188"/>
      <c r="C182" s="188"/>
      <c r="D182" s="188"/>
      <c r="E182" s="188"/>
      <c r="F182" s="189"/>
      <c r="G182" s="160"/>
    </row>
    <row r="183" spans="1:7" ht="18" thickBot="1" x14ac:dyDescent="0.55000000000000004">
      <c r="A183" s="187"/>
      <c r="B183" s="188"/>
      <c r="C183" s="188"/>
      <c r="D183" s="188"/>
      <c r="E183" s="188"/>
      <c r="F183" s="189"/>
      <c r="G183" s="160"/>
    </row>
    <row r="184" spans="1:7" ht="18" thickBot="1" x14ac:dyDescent="0.55000000000000004">
      <c r="A184" s="190"/>
      <c r="B184" s="191"/>
      <c r="C184" s="191"/>
      <c r="D184" s="191"/>
      <c r="E184" s="191"/>
      <c r="F184" s="192"/>
      <c r="G184" s="160"/>
    </row>
    <row r="185" spans="1:7" ht="18" thickBot="1" x14ac:dyDescent="0.55000000000000004">
      <c r="A185" s="187"/>
      <c r="B185" s="188"/>
      <c r="C185" s="188"/>
      <c r="D185" s="188"/>
      <c r="E185" s="188"/>
      <c r="F185" s="189"/>
      <c r="G185" s="163"/>
    </row>
    <row r="186" spans="1:7" ht="18" thickBot="1" x14ac:dyDescent="0.55000000000000004">
      <c r="A186" s="187"/>
      <c r="B186" s="188"/>
      <c r="C186" s="188"/>
      <c r="D186" s="188"/>
      <c r="E186" s="188"/>
      <c r="F186" s="189"/>
      <c r="G186" s="163"/>
    </row>
    <row r="187" spans="1:7" ht="18" thickBot="1" x14ac:dyDescent="0.55000000000000004">
      <c r="A187" s="200"/>
      <c r="B187" s="201"/>
      <c r="C187" s="201"/>
      <c r="D187" s="201"/>
      <c r="E187" s="201"/>
      <c r="F187" s="202"/>
      <c r="G187" s="163"/>
    </row>
    <row r="188" spans="1:7" ht="18" thickBot="1" x14ac:dyDescent="0.55000000000000004">
      <c r="A188" s="187"/>
      <c r="B188" s="188"/>
      <c r="C188" s="188"/>
      <c r="D188" s="188"/>
      <c r="E188" s="188"/>
      <c r="F188" s="189"/>
      <c r="G188" s="160"/>
    </row>
    <row r="189" spans="1:7" ht="18" thickBot="1" x14ac:dyDescent="0.55000000000000004">
      <c r="A189" s="187"/>
      <c r="B189" s="188"/>
      <c r="C189" s="188"/>
      <c r="D189" s="188"/>
      <c r="E189" s="188"/>
      <c r="F189" s="189"/>
      <c r="G189" s="160"/>
    </row>
    <row r="190" spans="1:7" ht="18" thickBot="1" x14ac:dyDescent="0.55000000000000004">
      <c r="A190" s="200"/>
      <c r="B190" s="201"/>
      <c r="C190" s="201"/>
      <c r="D190" s="201"/>
      <c r="E190" s="201"/>
      <c r="F190" s="202"/>
      <c r="G190" s="160"/>
    </row>
    <row r="191" spans="1:7" ht="18" thickBot="1" x14ac:dyDescent="0.55000000000000004">
      <c r="A191" s="187"/>
      <c r="B191" s="201"/>
      <c r="C191" s="201"/>
      <c r="D191" s="201"/>
      <c r="E191" s="201"/>
      <c r="F191" s="202"/>
      <c r="G191" s="160"/>
    </row>
    <row r="192" spans="1:7" ht="41.25" customHeight="1" thickBot="1" x14ac:dyDescent="0.55000000000000004"/>
    <row r="193" spans="5:7" ht="18" thickBot="1" x14ac:dyDescent="0.55000000000000004">
      <c r="F193" s="87" t="s">
        <v>5</v>
      </c>
      <c r="G193" s="116">
        <f>SUM(G173:G191)</f>
        <v>0</v>
      </c>
    </row>
    <row r="194" spans="5:7" ht="18" thickBot="1" x14ac:dyDescent="0.55000000000000004"/>
    <row r="195" spans="5:7" ht="18" thickBot="1" x14ac:dyDescent="0.55000000000000004">
      <c r="E195" s="193" t="s">
        <v>111</v>
      </c>
      <c r="F195" s="195"/>
      <c r="G195" s="116">
        <f>E115-L130-H135-G150-G159-C167-G193</f>
        <v>293.09000000000003</v>
      </c>
    </row>
  </sheetData>
  <sheetProtection algorithmName="SHA-512" hashValue="rRRA3OkUdjShb6bWxCisj5hi7xFrNVTfOJ/Ej6TUobn1oi29q3LKxOwgpHyiF9PK97MY4hWP48B95e3de9gBAQ==" saltValue="MbJb8uC/2pOkNe19bE3Wg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A189:F189"/>
    <mergeCell ref="A190:F190"/>
    <mergeCell ref="A186:F186"/>
    <mergeCell ref="A187:F187"/>
    <mergeCell ref="E195:F195"/>
    <mergeCell ref="A191:F191"/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Ferrocarriles!$F$5:$F$10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Colonias!$B$36:$B$42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Colonias!$B$36:$B$52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M16" sqref="M16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7" t="s">
        <v>191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</row>
    <row r="5" spans="1:20" ht="15.75" thickBot="1" x14ac:dyDescent="0.5">
      <c r="A5" s="84" t="s">
        <v>192</v>
      </c>
    </row>
    <row r="6" spans="1:20" ht="15.75" thickBot="1" x14ac:dyDescent="0.5">
      <c r="A6" s="50"/>
      <c r="B6" s="255" t="s">
        <v>161</v>
      </c>
      <c r="C6" s="255" t="s">
        <v>151</v>
      </c>
      <c r="D6" s="255" t="s">
        <v>190</v>
      </c>
      <c r="E6" s="255" t="s">
        <v>151</v>
      </c>
      <c r="F6" s="255" t="s">
        <v>150</v>
      </c>
      <c r="G6" s="255" t="s">
        <v>151</v>
      </c>
      <c r="H6" s="255" t="s">
        <v>152</v>
      </c>
      <c r="I6" s="255" t="s">
        <v>151</v>
      </c>
      <c r="J6" s="255" t="s">
        <v>153</v>
      </c>
      <c r="K6" s="253" t="s">
        <v>151</v>
      </c>
      <c r="N6" s="218" t="s">
        <v>193</v>
      </c>
      <c r="O6" s="218"/>
      <c r="P6" s="218"/>
    </row>
    <row r="7" spans="1:20" ht="15.75" thickBot="1" x14ac:dyDescent="0.5">
      <c r="A7" s="51" t="s">
        <v>182</v>
      </c>
      <c r="B7" s="256"/>
      <c r="C7" s="256"/>
      <c r="D7" s="256"/>
      <c r="E7" s="256"/>
      <c r="F7" s="256"/>
      <c r="G7" s="256"/>
      <c r="H7" s="256"/>
      <c r="I7" s="256"/>
      <c r="J7" s="256"/>
      <c r="K7" s="254"/>
      <c r="N7" s="7"/>
      <c r="O7" s="49" t="s">
        <v>120</v>
      </c>
      <c r="P7" s="49" t="s">
        <v>195</v>
      </c>
    </row>
    <row r="8" spans="1:20" ht="15.75" thickBot="1" x14ac:dyDescent="0.5">
      <c r="A8" s="49" t="s">
        <v>247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194</v>
      </c>
      <c r="O8" s="7"/>
      <c r="P8" s="52">
        <f>B37/1000000</f>
        <v>9.4</v>
      </c>
    </row>
    <row r="9" spans="1:20" ht="15.75" thickBot="1" x14ac:dyDescent="0.5">
      <c r="A9" s="153" t="s">
        <v>247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251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 t="s">
        <v>252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196</v>
      </c>
      <c r="O11" s="53">
        <f>B99</f>
        <v>54</v>
      </c>
      <c r="P11" s="7"/>
    </row>
    <row r="12" spans="1:20" ht="15.75" thickBot="1" x14ac:dyDescent="0.5">
      <c r="A12" s="49" t="s">
        <v>255</v>
      </c>
      <c r="B12" s="49" t="s">
        <v>252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95</v>
      </c>
      <c r="P12" s="52">
        <f>P8+P9</f>
        <v>10.220000000000001</v>
      </c>
    </row>
    <row r="13" spans="1:20" ht="15.75" thickBot="1" x14ac:dyDescent="0.5">
      <c r="A13" s="49" t="s">
        <v>253</v>
      </c>
      <c r="B13" s="49" t="s">
        <v>252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256</v>
      </c>
      <c r="B14" s="49" t="s">
        <v>252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254</v>
      </c>
      <c r="B15" s="49" t="s">
        <v>252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197</v>
      </c>
      <c r="B28" s="49" t="s">
        <v>258</v>
      </c>
      <c r="C28" s="45"/>
      <c r="D28" s="168"/>
      <c r="E28" s="166"/>
      <c r="F28" s="167" t="s">
        <v>213</v>
      </c>
      <c r="G28" s="53">
        <f>B25+D25+H25+J25</f>
        <v>62</v>
      </c>
      <c r="I28" s="55" t="s">
        <v>111</v>
      </c>
      <c r="J28" s="59">
        <f>Econ!G195</f>
        <v>293.09000000000003</v>
      </c>
    </row>
    <row r="29" spans="1:18" ht="16.149999999999999" thickTop="1" thickBot="1" x14ac:dyDescent="0.5">
      <c r="A29" s="49" t="s">
        <v>198</v>
      </c>
      <c r="B29" s="49" t="s">
        <v>13</v>
      </c>
    </row>
    <row r="30" spans="1:18" ht="15.75" thickBot="1" x14ac:dyDescent="0.5">
      <c r="A30" s="56" t="s">
        <v>199</v>
      </c>
      <c r="B30" s="57" t="s">
        <v>259</v>
      </c>
      <c r="E30" s="218" t="s">
        <v>200</v>
      </c>
      <c r="F30" s="218"/>
      <c r="G30" s="218"/>
      <c r="H30" s="218"/>
      <c r="I30" s="218"/>
      <c r="J30" s="218"/>
      <c r="K30" s="218"/>
    </row>
    <row r="31" spans="1:18" ht="15.75" thickBot="1" x14ac:dyDescent="0.5">
      <c r="A31" s="44"/>
      <c r="B31" s="44"/>
      <c r="C31" s="44"/>
      <c r="E31" s="218" t="s">
        <v>64</v>
      </c>
      <c r="F31" s="218"/>
      <c r="G31" s="218"/>
      <c r="H31" s="49" t="s">
        <v>120</v>
      </c>
      <c r="I31" s="218" t="s">
        <v>201</v>
      </c>
      <c r="J31" s="218"/>
      <c r="K31" s="218"/>
    </row>
    <row r="32" spans="1:18" ht="15.75" thickBot="1" x14ac:dyDescent="0.5">
      <c r="A32" s="44"/>
      <c r="B32" s="44"/>
      <c r="C32" s="44"/>
      <c r="E32" s="228"/>
      <c r="F32" s="229"/>
      <c r="G32" s="230"/>
      <c r="H32" s="174"/>
      <c r="I32" s="228"/>
      <c r="J32" s="229"/>
      <c r="K32" s="230"/>
      <c r="R32" s="44"/>
    </row>
    <row r="33" spans="1:16" ht="15.75" thickBot="1" x14ac:dyDescent="0.5">
      <c r="A33" s="44"/>
      <c r="E33" s="228"/>
      <c r="F33" s="229"/>
      <c r="G33" s="230"/>
      <c r="H33" s="174"/>
      <c r="I33" s="228"/>
      <c r="J33" s="229"/>
      <c r="K33" s="230"/>
    </row>
    <row r="34" spans="1:16" ht="16.149999999999999" thickTop="1" thickBot="1" x14ac:dyDescent="0.5">
      <c r="A34" s="55" t="s">
        <v>9</v>
      </c>
      <c r="B34" s="55" t="s">
        <v>165</v>
      </c>
      <c r="C34" s="20" t="s">
        <v>9</v>
      </c>
      <c r="E34" s="228"/>
      <c r="F34" s="229"/>
      <c r="G34" s="230"/>
      <c r="H34" s="174"/>
      <c r="I34" s="228"/>
      <c r="J34" s="229"/>
      <c r="K34" s="230"/>
    </row>
    <row r="35" spans="1:16" ht="16.149999999999999" thickTop="1" thickBot="1" x14ac:dyDescent="0.5">
      <c r="A35" s="55" t="s">
        <v>202</v>
      </c>
      <c r="B35" s="60">
        <f>(B25+H25+J25)*200000</f>
        <v>6400000</v>
      </c>
      <c r="E35" s="228"/>
      <c r="F35" s="229"/>
      <c r="G35" s="230"/>
      <c r="H35" s="174"/>
      <c r="I35" s="228"/>
      <c r="J35" s="229"/>
      <c r="K35" s="230"/>
    </row>
    <row r="36" spans="1:16" ht="16.149999999999999" thickTop="1" thickBot="1" x14ac:dyDescent="0.5">
      <c r="A36" s="55" t="s">
        <v>203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18" t="s">
        <v>204</v>
      </c>
      <c r="H39" s="218"/>
      <c r="I39" s="218"/>
      <c r="J39" s="218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205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206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207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243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1" t="s">
        <v>182</v>
      </c>
      <c r="B48" s="233" t="s">
        <v>208</v>
      </c>
      <c r="C48" s="233" t="s">
        <v>151</v>
      </c>
      <c r="D48" s="233" t="s">
        <v>209</v>
      </c>
      <c r="E48" s="233" t="s">
        <v>151</v>
      </c>
      <c r="F48" s="233" t="s">
        <v>210</v>
      </c>
      <c r="G48" s="233" t="s">
        <v>151</v>
      </c>
      <c r="H48" s="233" t="s">
        <v>211</v>
      </c>
      <c r="I48" s="233" t="s">
        <v>151</v>
      </c>
      <c r="J48" s="233" t="s">
        <v>175</v>
      </c>
      <c r="K48" s="233" t="s">
        <v>151</v>
      </c>
      <c r="L48" s="233" t="s">
        <v>177</v>
      </c>
    </row>
    <row r="49" spans="1:12" ht="16.149999999999999" thickTop="1" thickBot="1" x14ac:dyDescent="0.5">
      <c r="A49" s="232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</row>
    <row r="50" spans="1:12" s="47" customFormat="1" ht="16.149999999999999" thickTop="1" thickBot="1" x14ac:dyDescent="0.5">
      <c r="A50" s="62" t="s">
        <v>260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260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261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262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263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264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197</v>
      </c>
      <c r="B63" s="49" t="s">
        <v>258</v>
      </c>
      <c r="E63" s="49"/>
      <c r="F63" s="58" t="s">
        <v>212</v>
      </c>
      <c r="G63" s="53">
        <f>B64*0.5</f>
        <v>81.5</v>
      </c>
    </row>
    <row r="64" spans="1:12" ht="16.149999999999999" thickTop="1" thickBot="1" x14ac:dyDescent="0.5">
      <c r="A64" s="55" t="s">
        <v>214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215</v>
      </c>
      <c r="B65" s="59">
        <f>ROUNDUP((B64/20)*5,0)</f>
        <v>41</v>
      </c>
      <c r="E65" s="218" t="s">
        <v>216</v>
      </c>
      <c r="F65" s="218"/>
      <c r="G65" s="218"/>
      <c r="H65" s="218"/>
      <c r="I65" s="218"/>
      <c r="J65" s="218"/>
      <c r="K65" s="218"/>
    </row>
    <row r="66" spans="1:16" ht="16.149999999999999" thickTop="1" thickBot="1" x14ac:dyDescent="0.5">
      <c r="A66" s="55" t="s">
        <v>165</v>
      </c>
      <c r="B66" s="55">
        <f>ROUNDUP((B64/20)*0.1,2)</f>
        <v>0.82000000000000006</v>
      </c>
      <c r="C66" s="20" t="s">
        <v>58</v>
      </c>
      <c r="E66" s="218" t="s">
        <v>217</v>
      </c>
      <c r="F66" s="218"/>
      <c r="G66" s="218"/>
      <c r="H66" s="49" t="s">
        <v>120</v>
      </c>
      <c r="I66" s="218" t="s">
        <v>201</v>
      </c>
      <c r="J66" s="218"/>
      <c r="K66" s="218"/>
    </row>
    <row r="67" spans="1:16" ht="15" customHeight="1" thickTop="1" thickBot="1" x14ac:dyDescent="0.5">
      <c r="E67" s="228"/>
      <c r="F67" s="229"/>
      <c r="G67" s="230"/>
      <c r="H67" s="174"/>
      <c r="I67" s="228"/>
      <c r="J67" s="229"/>
      <c r="K67" s="230"/>
    </row>
    <row r="68" spans="1:16" ht="15" customHeight="1" thickBot="1" x14ac:dyDescent="0.5">
      <c r="E68" s="228"/>
      <c r="F68" s="229"/>
      <c r="G68" s="230"/>
      <c r="H68" s="174"/>
      <c r="I68" s="228"/>
      <c r="J68" s="229"/>
      <c r="K68" s="230"/>
    </row>
    <row r="69" spans="1:16" ht="15" customHeight="1" thickBot="1" x14ac:dyDescent="0.5">
      <c r="E69" s="228"/>
      <c r="F69" s="229"/>
      <c r="G69" s="230"/>
      <c r="H69" s="174"/>
      <c r="I69" s="228"/>
      <c r="J69" s="229"/>
      <c r="K69" s="230"/>
    </row>
    <row r="70" spans="1:16" ht="15.75" thickBot="1" x14ac:dyDescent="0.5">
      <c r="E70" s="228"/>
      <c r="F70" s="229"/>
      <c r="G70" s="230"/>
      <c r="H70" s="174"/>
      <c r="I70" s="228"/>
      <c r="J70" s="229"/>
      <c r="K70" s="230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293.09000000000003</v>
      </c>
      <c r="I72" s="48"/>
    </row>
    <row r="75" spans="1:16" ht="15.75" thickBot="1" x14ac:dyDescent="0.5">
      <c r="A75" s="84" t="s">
        <v>244</v>
      </c>
    </row>
    <row r="76" spans="1:16" ht="15.75" thickBot="1" x14ac:dyDescent="0.5">
      <c r="A76" s="49" t="s">
        <v>218</v>
      </c>
      <c r="B76" s="49" t="s">
        <v>170</v>
      </c>
      <c r="C76" s="49" t="s">
        <v>120</v>
      </c>
      <c r="D76" s="246" t="s">
        <v>182</v>
      </c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6"/>
    </row>
    <row r="77" spans="1:16" ht="15.75" thickBot="1" x14ac:dyDescent="0.5">
      <c r="A77" s="49" t="s">
        <v>223</v>
      </c>
      <c r="B77" s="49">
        <v>8</v>
      </c>
      <c r="C77" s="69"/>
      <c r="D77" s="247" t="s">
        <v>265</v>
      </c>
      <c r="E77" s="248"/>
      <c r="F77" s="248"/>
      <c r="G77" s="248"/>
      <c r="H77" s="248"/>
      <c r="I77" s="248"/>
      <c r="J77" s="248"/>
      <c r="K77" s="248"/>
      <c r="L77" s="248"/>
      <c r="M77" s="248"/>
      <c r="N77" s="248"/>
      <c r="O77" s="248"/>
      <c r="P77" s="249"/>
    </row>
    <row r="78" spans="1:16" ht="15.75" thickBot="1" x14ac:dyDescent="0.5">
      <c r="A78" s="49" t="s">
        <v>219</v>
      </c>
      <c r="B78" s="49">
        <v>12</v>
      </c>
      <c r="C78" s="70">
        <f>B78</f>
        <v>12</v>
      </c>
      <c r="D78" s="250" t="s">
        <v>266</v>
      </c>
      <c r="E78" s="251"/>
      <c r="F78" s="251"/>
      <c r="G78" s="251"/>
      <c r="H78" s="251"/>
      <c r="I78" s="251"/>
      <c r="J78" s="251"/>
      <c r="K78" s="251"/>
      <c r="L78" s="251"/>
      <c r="M78" s="251"/>
      <c r="N78" s="251"/>
      <c r="O78" s="251"/>
      <c r="P78" s="252"/>
    </row>
    <row r="79" spans="1:16" x14ac:dyDescent="0.45">
      <c r="A79" s="35"/>
      <c r="B79" s="35"/>
      <c r="C79" s="15"/>
      <c r="D79" s="222" t="s">
        <v>267</v>
      </c>
      <c r="E79" s="223"/>
      <c r="F79" s="223"/>
      <c r="G79" s="223"/>
      <c r="H79" s="223"/>
      <c r="I79" s="223"/>
      <c r="J79" s="223"/>
      <c r="K79" s="223"/>
      <c r="L79" s="223"/>
      <c r="M79" s="223"/>
      <c r="N79" s="223"/>
      <c r="O79" s="223"/>
      <c r="P79" s="224"/>
    </row>
    <row r="80" spans="1:16" x14ac:dyDescent="0.45">
      <c r="A80" s="35"/>
      <c r="B80" s="35"/>
      <c r="C80" s="15"/>
      <c r="D80" s="222" t="s">
        <v>296</v>
      </c>
      <c r="E80" s="223"/>
      <c r="F80" s="223"/>
      <c r="G80" s="223"/>
      <c r="H80" s="223"/>
      <c r="I80" s="223"/>
      <c r="J80" s="223"/>
      <c r="K80" s="223"/>
      <c r="L80" s="223"/>
      <c r="M80" s="223"/>
      <c r="N80" s="223"/>
      <c r="O80" s="223"/>
      <c r="P80" s="224"/>
    </row>
    <row r="81" spans="1:16" x14ac:dyDescent="0.45">
      <c r="A81" s="35"/>
      <c r="B81" s="35"/>
      <c r="C81" s="15"/>
      <c r="D81" s="222" t="s">
        <v>268</v>
      </c>
      <c r="E81" s="223"/>
      <c r="F81" s="223"/>
      <c r="G81" s="223"/>
      <c r="H81" s="223"/>
      <c r="I81" s="223"/>
      <c r="J81" s="223"/>
      <c r="K81" s="223"/>
      <c r="L81" s="223"/>
      <c r="M81" s="223"/>
      <c r="N81" s="223"/>
      <c r="O81" s="223"/>
      <c r="P81" s="224"/>
    </row>
    <row r="82" spans="1:16" x14ac:dyDescent="0.45">
      <c r="A82" s="35"/>
      <c r="B82" s="35"/>
      <c r="C82" s="15"/>
      <c r="D82" s="225" t="s">
        <v>269</v>
      </c>
      <c r="E82" s="226"/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7"/>
    </row>
    <row r="83" spans="1:16" ht="15.75" thickBot="1" x14ac:dyDescent="0.5">
      <c r="A83" s="35"/>
      <c r="B83" s="35"/>
      <c r="C83" s="15"/>
      <c r="D83" s="219"/>
      <c r="E83" s="220"/>
      <c r="F83" s="220"/>
      <c r="G83" s="220"/>
      <c r="H83" s="220"/>
      <c r="I83" s="220"/>
      <c r="J83" s="220"/>
      <c r="K83" s="220"/>
      <c r="L83" s="220"/>
      <c r="M83" s="220"/>
      <c r="N83" s="220"/>
      <c r="O83" s="220"/>
      <c r="P83" s="22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220</v>
      </c>
      <c r="B86" s="49" t="s">
        <v>170</v>
      </c>
      <c r="C86" s="49" t="s">
        <v>120</v>
      </c>
      <c r="D86" s="218" t="s">
        <v>182</v>
      </c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</row>
    <row r="87" spans="1:16" ht="15.75" thickBot="1" x14ac:dyDescent="0.5">
      <c r="A87" s="57" t="s">
        <v>223</v>
      </c>
      <c r="B87" s="57">
        <v>16</v>
      </c>
      <c r="C87" s="69"/>
      <c r="D87" s="214" t="s">
        <v>270</v>
      </c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5"/>
      <c r="P87" s="216"/>
    </row>
    <row r="88" spans="1:16" ht="15.75" thickBot="1" x14ac:dyDescent="0.5">
      <c r="A88" s="165" t="s">
        <v>219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221</v>
      </c>
      <c r="B90" s="49" t="s">
        <v>170</v>
      </c>
      <c r="C90" s="49" t="s">
        <v>120</v>
      </c>
      <c r="D90" s="218" t="s">
        <v>182</v>
      </c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34" t="s">
        <v>271</v>
      </c>
      <c r="E91" s="235"/>
      <c r="F91" s="235"/>
      <c r="G91" s="235"/>
      <c r="H91" s="235"/>
      <c r="I91" s="235"/>
      <c r="J91" s="235"/>
      <c r="K91" s="235"/>
      <c r="L91" s="235"/>
      <c r="M91" s="235"/>
      <c r="N91" s="235"/>
      <c r="O91" s="235"/>
      <c r="P91" s="236"/>
    </row>
    <row r="92" spans="1:16" ht="35.25" customHeight="1" thickBot="1" x14ac:dyDescent="0.5">
      <c r="D92" s="237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9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222</v>
      </c>
      <c r="B94" s="49" t="s">
        <v>170</v>
      </c>
      <c r="C94" s="49" t="s">
        <v>120</v>
      </c>
      <c r="D94" s="218" t="s">
        <v>182</v>
      </c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</row>
    <row r="95" spans="1:16" ht="15.75" thickBot="1" x14ac:dyDescent="0.5">
      <c r="A95" s="49"/>
      <c r="B95" s="49">
        <v>3</v>
      </c>
      <c r="C95" s="70">
        <f>B95*4</f>
        <v>12</v>
      </c>
      <c r="D95" s="240" t="s">
        <v>272</v>
      </c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2"/>
    </row>
    <row r="96" spans="1:16" ht="15.75" thickBot="1" x14ac:dyDescent="0.5">
      <c r="D96" s="243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5"/>
    </row>
    <row r="99" spans="1:17" x14ac:dyDescent="0.45">
      <c r="A99" s="168" t="s">
        <v>6</v>
      </c>
      <c r="B99" s="172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60</v>
      </c>
      <c r="D102" s="61">
        <f>H72</f>
        <v>293.09000000000003</v>
      </c>
    </row>
  </sheetData>
  <sheetProtection algorithmName="SHA-512" hashValue="Fo+4LHgXYpAHo4V7Eqt8mYTwSjQ6rR6s4xLShUNjFwBPe/Ux1AmFbUGWVnTQIGYqo2OLRpmC+auOsXGR7wxD3g==" saltValue="8PqRuGSpBFyvOok165b2O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4"/>
  <sheetViews>
    <sheetView showGridLines="0" topLeftCell="A32" workbookViewId="0">
      <selection activeCell="B35" sqref="B35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9" t="s">
        <v>245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1"/>
      <c r="C5" s="262" t="s">
        <v>225</v>
      </c>
      <c r="D5" s="263"/>
      <c r="E5" s="263"/>
      <c r="F5" s="263"/>
      <c r="G5" s="263"/>
      <c r="H5" s="263"/>
      <c r="I5" s="264"/>
      <c r="J5" s="17"/>
      <c r="K5" s="260" t="s">
        <v>226</v>
      </c>
      <c r="L5" s="260"/>
      <c r="M5" s="260"/>
      <c r="N5" s="260"/>
      <c r="O5" s="260"/>
      <c r="P5" s="260"/>
    </row>
    <row r="6" spans="1:16" s="11" customFormat="1" ht="18" thickBot="1" x14ac:dyDescent="0.55000000000000004">
      <c r="B6" s="261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110</v>
      </c>
      <c r="D7" s="41">
        <f>SUM(D11:D31)</f>
        <v>0</v>
      </c>
      <c r="E7" s="41">
        <f t="shared" ref="E7:I7" si="0">SUM(E11:E31)</f>
        <v>0</v>
      </c>
      <c r="F7" s="41">
        <f t="shared" si="0"/>
        <v>3</v>
      </c>
      <c r="G7" s="41">
        <f t="shared" si="0"/>
        <v>3</v>
      </c>
      <c r="H7" s="41">
        <f t="shared" si="0"/>
        <v>2</v>
      </c>
      <c r="I7" s="41">
        <f t="shared" si="0"/>
        <v>1</v>
      </c>
      <c r="J7" s="10"/>
      <c r="K7" s="41">
        <f>SUM(K11:K31)</f>
        <v>7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0" t="s">
        <v>227</v>
      </c>
      <c r="D9" s="260"/>
      <c r="E9" s="260"/>
      <c r="F9" s="260"/>
      <c r="G9" s="260"/>
      <c r="H9" s="260"/>
      <c r="I9" s="40"/>
      <c r="K9" s="260" t="s">
        <v>228</v>
      </c>
      <c r="L9" s="260"/>
      <c r="M9" s="260"/>
      <c r="N9" s="260"/>
      <c r="O9" s="260"/>
      <c r="P9" s="260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9" customFormat="1" ht="18" thickBot="1" x14ac:dyDescent="0.55000000000000004">
      <c r="B11" s="12" t="s">
        <v>286</v>
      </c>
      <c r="C11" s="71">
        <v>0</v>
      </c>
      <c r="D11" s="178">
        <v>0</v>
      </c>
      <c r="E11" s="178">
        <v>0</v>
      </c>
      <c r="F11" s="178">
        <v>2</v>
      </c>
      <c r="G11" s="178">
        <v>1</v>
      </c>
      <c r="H11" s="178">
        <v>2</v>
      </c>
      <c r="I11" s="178">
        <v>1</v>
      </c>
      <c r="K11" s="178">
        <v>3</v>
      </c>
      <c r="L11" s="178">
        <v>0</v>
      </c>
      <c r="M11" s="178">
        <v>0</v>
      </c>
      <c r="N11" s="178">
        <v>0</v>
      </c>
      <c r="O11" s="178">
        <v>0</v>
      </c>
      <c r="P11" s="178">
        <v>0</v>
      </c>
    </row>
    <row r="12" spans="1:16" s="17" customFormat="1" ht="18" thickBot="1" x14ac:dyDescent="0.55000000000000004">
      <c r="A12" s="33"/>
      <c r="B12" s="12" t="s">
        <v>251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274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275</v>
      </c>
      <c r="C14" s="71">
        <v>6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9" t="s">
        <v>9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</row>
    <row r="15" spans="1:16" s="30" customFormat="1" ht="18" thickBot="1" x14ac:dyDescent="0.55000000000000004">
      <c r="A15" s="33"/>
      <c r="B15" s="12" t="s">
        <v>276</v>
      </c>
      <c r="C15" s="71">
        <v>2</v>
      </c>
      <c r="D15" s="178">
        <v>0</v>
      </c>
      <c r="E15" s="178">
        <v>0</v>
      </c>
      <c r="F15" s="178">
        <v>0</v>
      </c>
      <c r="G15" s="178">
        <v>0</v>
      </c>
      <c r="H15" s="178">
        <v>0</v>
      </c>
      <c r="I15" s="178">
        <v>0</v>
      </c>
      <c r="J15" s="179" t="s">
        <v>9</v>
      </c>
      <c r="K15" s="178">
        <v>0</v>
      </c>
      <c r="L15" s="178">
        <v>0</v>
      </c>
      <c r="M15" s="178">
        <v>0</v>
      </c>
      <c r="N15" s="178">
        <v>0</v>
      </c>
      <c r="O15" s="178">
        <v>0</v>
      </c>
      <c r="P15" s="178">
        <v>0</v>
      </c>
    </row>
    <row r="16" spans="1:16" s="30" customFormat="1" ht="18" thickBot="1" x14ac:dyDescent="0.55000000000000004">
      <c r="A16" s="33"/>
      <c r="B16" s="12" t="s">
        <v>277</v>
      </c>
      <c r="C16" s="71">
        <v>18</v>
      </c>
      <c r="D16" s="178">
        <v>0</v>
      </c>
      <c r="E16" s="178">
        <v>0</v>
      </c>
      <c r="F16" s="178">
        <v>0</v>
      </c>
      <c r="G16" s="178">
        <v>0</v>
      </c>
      <c r="H16" s="178">
        <v>0</v>
      </c>
      <c r="I16" s="178">
        <v>0</v>
      </c>
      <c r="J16" s="179" t="s">
        <v>9</v>
      </c>
      <c r="K16" s="178">
        <v>0</v>
      </c>
      <c r="L16" s="178">
        <v>0</v>
      </c>
      <c r="M16" s="178">
        <v>0</v>
      </c>
      <c r="N16" s="178">
        <v>0</v>
      </c>
      <c r="O16" s="178">
        <v>0</v>
      </c>
      <c r="P16" s="178">
        <v>0</v>
      </c>
    </row>
    <row r="17" spans="1:16" s="30" customFormat="1" ht="18" thickBot="1" x14ac:dyDescent="0.55000000000000004">
      <c r="A17" s="33"/>
      <c r="B17" s="12" t="s">
        <v>278</v>
      </c>
      <c r="C17" s="71">
        <v>10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9" t="s">
        <v>9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0</v>
      </c>
    </row>
    <row r="18" spans="1:16" s="30" customFormat="1" ht="18" thickBot="1" x14ac:dyDescent="0.55000000000000004">
      <c r="A18" s="33"/>
      <c r="B18" s="12" t="s">
        <v>279</v>
      </c>
      <c r="C18" s="71">
        <v>18</v>
      </c>
      <c r="D18" s="178">
        <v>0</v>
      </c>
      <c r="E18" s="178">
        <v>0</v>
      </c>
      <c r="F18" s="178">
        <v>0</v>
      </c>
      <c r="G18" s="178">
        <v>0</v>
      </c>
      <c r="H18" s="178">
        <v>0</v>
      </c>
      <c r="I18" s="178">
        <v>0</v>
      </c>
      <c r="J18" s="179" t="s">
        <v>9</v>
      </c>
      <c r="K18" s="178">
        <v>0</v>
      </c>
      <c r="L18" s="178">
        <v>0</v>
      </c>
      <c r="M18" s="178">
        <v>0</v>
      </c>
      <c r="N18" s="178">
        <v>0</v>
      </c>
      <c r="O18" s="178">
        <v>0</v>
      </c>
      <c r="P18" s="178">
        <v>0</v>
      </c>
    </row>
    <row r="19" spans="1:16" s="30" customFormat="1" ht="18" thickBot="1" x14ac:dyDescent="0.55000000000000004">
      <c r="A19" s="33"/>
      <c r="B19" s="12" t="s">
        <v>280</v>
      </c>
      <c r="C19" s="71">
        <v>4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9" t="s">
        <v>9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</row>
    <row r="20" spans="1:16" s="30" customFormat="1" ht="18" thickBot="1" x14ac:dyDescent="0.55000000000000004">
      <c r="A20" s="33"/>
      <c r="B20" s="12" t="s">
        <v>281</v>
      </c>
      <c r="C20" s="71">
        <v>4</v>
      </c>
      <c r="D20" s="178">
        <v>0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9" t="s">
        <v>9</v>
      </c>
      <c r="K20" s="178">
        <v>0</v>
      </c>
      <c r="L20" s="178">
        <v>0</v>
      </c>
      <c r="M20" s="178">
        <v>0</v>
      </c>
      <c r="N20" s="178">
        <v>0</v>
      </c>
      <c r="O20" s="178">
        <v>0</v>
      </c>
      <c r="P20" s="178">
        <v>0</v>
      </c>
    </row>
    <row r="21" spans="1:16" s="30" customFormat="1" ht="18" thickBot="1" x14ac:dyDescent="0.55000000000000004">
      <c r="A21" s="33"/>
      <c r="B21" s="12" t="s">
        <v>282</v>
      </c>
      <c r="C21" s="71">
        <v>8</v>
      </c>
      <c r="D21" s="178">
        <v>0</v>
      </c>
      <c r="E21" s="178">
        <v>0</v>
      </c>
      <c r="F21" s="178">
        <v>0</v>
      </c>
      <c r="G21" s="178">
        <v>0</v>
      </c>
      <c r="H21" s="178">
        <v>0</v>
      </c>
      <c r="I21" s="178">
        <v>0</v>
      </c>
      <c r="J21" s="179" t="s">
        <v>9</v>
      </c>
      <c r="K21" s="178">
        <v>1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</row>
    <row r="22" spans="1:16" s="33" customFormat="1" ht="18" thickBot="1" x14ac:dyDescent="0.55000000000000004">
      <c r="B22" s="12" t="s">
        <v>255</v>
      </c>
      <c r="C22" s="71">
        <v>10</v>
      </c>
      <c r="D22" s="178">
        <v>0</v>
      </c>
      <c r="E22" s="178">
        <v>0</v>
      </c>
      <c r="F22" s="178">
        <v>0</v>
      </c>
      <c r="G22" s="178">
        <v>1</v>
      </c>
      <c r="H22" s="178">
        <v>0</v>
      </c>
      <c r="I22" s="178">
        <v>0</v>
      </c>
      <c r="J22" s="179" t="s">
        <v>9</v>
      </c>
      <c r="K22" s="178">
        <v>1</v>
      </c>
      <c r="L22" s="178">
        <v>0</v>
      </c>
      <c r="M22" s="178">
        <v>0</v>
      </c>
      <c r="N22" s="178">
        <v>0</v>
      </c>
      <c r="O22" s="178">
        <v>0</v>
      </c>
      <c r="P22" s="178">
        <v>0</v>
      </c>
    </row>
    <row r="23" spans="1:16" s="33" customFormat="1" ht="18" thickBot="1" x14ac:dyDescent="0.55000000000000004">
      <c r="B23" s="12" t="s">
        <v>253</v>
      </c>
      <c r="C23" s="71">
        <v>5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9" t="s">
        <v>9</v>
      </c>
      <c r="K23" s="178">
        <v>0</v>
      </c>
      <c r="L23" s="178">
        <v>0</v>
      </c>
      <c r="M23" s="178">
        <v>0</v>
      </c>
      <c r="N23" s="178">
        <v>0</v>
      </c>
      <c r="O23" s="178">
        <v>0</v>
      </c>
      <c r="P23" s="178">
        <v>0</v>
      </c>
    </row>
    <row r="24" spans="1:16" s="33" customFormat="1" ht="18" thickBot="1" x14ac:dyDescent="0.55000000000000004">
      <c r="B24" s="12" t="s">
        <v>283</v>
      </c>
      <c r="C24" s="71">
        <v>0</v>
      </c>
      <c r="D24" s="178">
        <v>0</v>
      </c>
      <c r="E24" s="178">
        <v>0</v>
      </c>
      <c r="F24" s="178">
        <v>0</v>
      </c>
      <c r="G24" s="178">
        <v>0</v>
      </c>
      <c r="H24" s="178">
        <v>0</v>
      </c>
      <c r="I24" s="178">
        <v>0</v>
      </c>
      <c r="J24" s="179" t="s">
        <v>9</v>
      </c>
      <c r="K24" s="178">
        <v>0</v>
      </c>
      <c r="L24" s="178">
        <v>0</v>
      </c>
      <c r="M24" s="178">
        <v>0</v>
      </c>
      <c r="N24" s="178">
        <v>0</v>
      </c>
      <c r="O24" s="178">
        <v>0</v>
      </c>
      <c r="P24" s="178">
        <v>0</v>
      </c>
    </row>
    <row r="25" spans="1:16" s="33" customFormat="1" ht="18" thickBot="1" x14ac:dyDescent="0.55000000000000004">
      <c r="B25" s="12" t="s">
        <v>284</v>
      </c>
      <c r="C25" s="71">
        <v>0</v>
      </c>
      <c r="D25" s="178">
        <v>0</v>
      </c>
      <c r="E25" s="178">
        <v>0</v>
      </c>
      <c r="F25" s="178">
        <v>0</v>
      </c>
      <c r="G25" s="178">
        <v>0</v>
      </c>
      <c r="H25" s="178">
        <v>0</v>
      </c>
      <c r="I25" s="178">
        <v>0</v>
      </c>
      <c r="J25" s="179" t="s">
        <v>9</v>
      </c>
      <c r="K25" s="178">
        <v>0</v>
      </c>
      <c r="L25" s="178">
        <v>0</v>
      </c>
      <c r="M25" s="178">
        <v>0</v>
      </c>
      <c r="N25" s="178">
        <v>0</v>
      </c>
      <c r="O25" s="178">
        <v>0</v>
      </c>
      <c r="P25" s="178">
        <v>0</v>
      </c>
    </row>
    <row r="26" spans="1:16" s="33" customFormat="1" ht="18" thickBot="1" x14ac:dyDescent="0.55000000000000004">
      <c r="B26" s="12" t="s">
        <v>285</v>
      </c>
      <c r="C26" s="71">
        <v>0</v>
      </c>
      <c r="D26" s="178">
        <v>0</v>
      </c>
      <c r="E26" s="178">
        <v>0</v>
      </c>
      <c r="F26" s="178">
        <v>0</v>
      </c>
      <c r="G26" s="178">
        <v>0</v>
      </c>
      <c r="H26" s="178">
        <v>0</v>
      </c>
      <c r="I26" s="178">
        <v>0</v>
      </c>
      <c r="J26" s="179" t="s">
        <v>9</v>
      </c>
      <c r="K26" s="178">
        <v>0</v>
      </c>
      <c r="L26" s="178">
        <v>0</v>
      </c>
      <c r="M26" s="178">
        <v>0</v>
      </c>
      <c r="N26" s="178">
        <v>0</v>
      </c>
      <c r="O26" s="178">
        <v>0</v>
      </c>
      <c r="P26" s="178">
        <v>0</v>
      </c>
    </row>
    <row r="27" spans="1:16" s="33" customFormat="1" ht="18" thickBot="1" x14ac:dyDescent="0.55000000000000004">
      <c r="B27" s="12"/>
      <c r="C27" s="71">
        <v>0</v>
      </c>
      <c r="D27" s="178">
        <v>0</v>
      </c>
      <c r="E27" s="178">
        <v>0</v>
      </c>
      <c r="F27" s="178">
        <v>0</v>
      </c>
      <c r="G27" s="178">
        <v>0</v>
      </c>
      <c r="H27" s="178">
        <v>0</v>
      </c>
      <c r="I27" s="178">
        <v>0</v>
      </c>
      <c r="J27" s="179" t="s">
        <v>9</v>
      </c>
      <c r="K27" s="178">
        <v>0</v>
      </c>
      <c r="L27" s="178">
        <v>0</v>
      </c>
      <c r="M27" s="178">
        <v>0</v>
      </c>
      <c r="N27" s="178">
        <v>0</v>
      </c>
      <c r="O27" s="178">
        <v>0</v>
      </c>
      <c r="P27" s="178">
        <v>0</v>
      </c>
    </row>
    <row r="28" spans="1:16" s="33" customFormat="1" ht="18" thickBot="1" x14ac:dyDescent="0.55000000000000004">
      <c r="B28" s="12"/>
      <c r="C28" s="71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9" t="s">
        <v>9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</row>
    <row r="29" spans="1:16" s="33" customFormat="1" ht="18" thickBot="1" x14ac:dyDescent="0.55000000000000004">
      <c r="B29" s="12"/>
      <c r="C29" s="71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9" t="s">
        <v>9</v>
      </c>
      <c r="K29" s="178">
        <v>0</v>
      </c>
      <c r="L29" s="178">
        <v>0</v>
      </c>
      <c r="M29" s="178">
        <v>0</v>
      </c>
      <c r="N29" s="178">
        <v>0</v>
      </c>
      <c r="O29" s="178">
        <v>0</v>
      </c>
      <c r="P29" s="178">
        <v>0</v>
      </c>
    </row>
    <row r="30" spans="1:16" s="33" customFormat="1" ht="18" thickBot="1" x14ac:dyDescent="0.55000000000000004">
      <c r="B30" s="12"/>
      <c r="C30" s="71">
        <v>0</v>
      </c>
      <c r="D30" s="178">
        <v>0</v>
      </c>
      <c r="E30" s="178">
        <v>0</v>
      </c>
      <c r="F30" s="178">
        <v>0</v>
      </c>
      <c r="G30" s="178">
        <v>0</v>
      </c>
      <c r="H30" s="178">
        <v>0</v>
      </c>
      <c r="I30" s="178">
        <v>0</v>
      </c>
      <c r="J30" s="179" t="s">
        <v>9</v>
      </c>
      <c r="K30" s="178">
        <v>0</v>
      </c>
      <c r="L30" s="178">
        <v>0</v>
      </c>
      <c r="M30" s="178">
        <v>0</v>
      </c>
      <c r="N30" s="178">
        <v>0</v>
      </c>
      <c r="O30" s="178">
        <v>0</v>
      </c>
      <c r="P30" s="178">
        <v>0</v>
      </c>
    </row>
    <row r="31" spans="1:16" s="33" customFormat="1" ht="18" thickBot="1" x14ac:dyDescent="0.55000000000000004">
      <c r="B31" s="12"/>
      <c r="C31" s="71">
        <v>0</v>
      </c>
      <c r="D31" s="178">
        <v>0</v>
      </c>
      <c r="E31" s="178">
        <v>0</v>
      </c>
      <c r="F31" s="178">
        <v>0</v>
      </c>
      <c r="G31" s="178">
        <v>0</v>
      </c>
      <c r="H31" s="178">
        <v>0</v>
      </c>
      <c r="I31" s="178">
        <v>0</v>
      </c>
      <c r="J31" s="179" t="s">
        <v>9</v>
      </c>
      <c r="K31" s="178">
        <v>0</v>
      </c>
      <c r="L31" s="178">
        <v>0</v>
      </c>
      <c r="M31" s="178">
        <v>0</v>
      </c>
      <c r="N31" s="178">
        <v>0</v>
      </c>
      <c r="O31" s="178">
        <v>0</v>
      </c>
      <c r="P31" s="178">
        <v>0</v>
      </c>
    </row>
    <row r="32" spans="1:16" s="33" customFormat="1" x14ac:dyDescent="0.5"/>
    <row r="33" spans="2:16" x14ac:dyDescent="0.5">
      <c r="D33" s="28"/>
    </row>
    <row r="34" spans="2:16" x14ac:dyDescent="0.5">
      <c r="B34" s="265" t="s">
        <v>237</v>
      </c>
      <c r="C34" s="266"/>
      <c r="D34" s="266"/>
      <c r="E34" s="266"/>
      <c r="F34" s="266"/>
      <c r="G34" s="267"/>
      <c r="H34" s="28"/>
    </row>
    <row r="35" spans="2:16" x14ac:dyDescent="0.5">
      <c r="B35" s="42" t="s">
        <v>184</v>
      </c>
      <c r="C35" s="42" t="s">
        <v>217</v>
      </c>
      <c r="D35" s="42" t="s">
        <v>229</v>
      </c>
      <c r="E35" s="154" t="s">
        <v>120</v>
      </c>
      <c r="F35" s="155" t="s">
        <v>10</v>
      </c>
      <c r="G35" s="42" t="s">
        <v>125</v>
      </c>
    </row>
    <row r="36" spans="2:16" x14ac:dyDescent="0.5">
      <c r="B36" s="42" t="str">
        <f>_xlfn.CONCAT(D36," en ",C36)</f>
        <v>Exótico 1 en Indochina</v>
      </c>
      <c r="C36" s="42" t="s">
        <v>251</v>
      </c>
      <c r="D36" s="42" t="s">
        <v>287</v>
      </c>
      <c r="E36" s="72">
        <v>60</v>
      </c>
      <c r="F36" s="156">
        <v>0</v>
      </c>
      <c r="G36" s="42" t="s">
        <v>13</v>
      </c>
    </row>
    <row r="37" spans="2:16" x14ac:dyDescent="0.5">
      <c r="B37" s="42" t="str">
        <f t="shared" ref="B37:B42" si="2">_xlfn.CONCAT(D37," en ",C37)</f>
        <v>Exótico 2 en Indochina</v>
      </c>
      <c r="C37" s="42" t="s">
        <v>251</v>
      </c>
      <c r="D37" s="42" t="s">
        <v>288</v>
      </c>
      <c r="E37" s="72">
        <v>60</v>
      </c>
      <c r="F37" s="156">
        <v>0</v>
      </c>
      <c r="G37" s="42" t="s">
        <v>13</v>
      </c>
    </row>
    <row r="38" spans="2:16" s="177" customFormat="1" x14ac:dyDescent="0.5">
      <c r="B38" s="42" t="str">
        <f t="shared" si="2"/>
        <v>Materia Prima en Algeria</v>
      </c>
      <c r="C38" s="42" t="s">
        <v>277</v>
      </c>
      <c r="D38" s="42" t="s">
        <v>289</v>
      </c>
      <c r="E38" s="72">
        <v>70</v>
      </c>
      <c r="F38" s="156">
        <v>0</v>
      </c>
      <c r="G38" s="42" t="s">
        <v>13</v>
      </c>
    </row>
    <row r="39" spans="2:16" s="177" customFormat="1" x14ac:dyDescent="0.5">
      <c r="B39" s="42" t="str">
        <f t="shared" si="2"/>
        <v>Exótico en Senegal</v>
      </c>
      <c r="C39" s="42" t="s">
        <v>279</v>
      </c>
      <c r="D39" s="42" t="s">
        <v>290</v>
      </c>
      <c r="E39" s="72">
        <v>70</v>
      </c>
      <c r="F39" s="156">
        <v>0</v>
      </c>
      <c r="G39" s="42" t="s">
        <v>13</v>
      </c>
    </row>
    <row r="40" spans="2:16" s="177" customFormat="1" x14ac:dyDescent="0.5">
      <c r="B40" s="42" t="str">
        <f t="shared" si="2"/>
        <v>Exótico en Costa Marfil</v>
      </c>
      <c r="C40" s="42" t="s">
        <v>291</v>
      </c>
      <c r="D40" s="42" t="s">
        <v>290</v>
      </c>
      <c r="E40" s="72">
        <v>65</v>
      </c>
      <c r="F40" s="156">
        <v>0</v>
      </c>
      <c r="G40" s="42" t="s">
        <v>13</v>
      </c>
    </row>
    <row r="41" spans="2:16" s="183" customFormat="1" x14ac:dyDescent="0.5">
      <c r="B41" s="42" t="str">
        <f t="shared" si="2"/>
        <v>Carbón en Senegal</v>
      </c>
      <c r="C41" s="42" t="s">
        <v>279</v>
      </c>
      <c r="D41" s="42" t="s">
        <v>98</v>
      </c>
      <c r="E41" s="72">
        <v>70</v>
      </c>
      <c r="F41" s="156">
        <v>0.4</v>
      </c>
      <c r="G41" s="42" t="s">
        <v>13</v>
      </c>
    </row>
    <row r="42" spans="2:16" s="177" customFormat="1" x14ac:dyDescent="0.5">
      <c r="B42" s="42" t="str">
        <f t="shared" si="2"/>
        <v>Exótico en Congo Francés</v>
      </c>
      <c r="C42" s="42" t="s">
        <v>255</v>
      </c>
      <c r="D42" s="42" t="s">
        <v>290</v>
      </c>
      <c r="E42" s="72">
        <v>75</v>
      </c>
      <c r="F42" s="156">
        <v>0</v>
      </c>
      <c r="G42" s="42" t="s">
        <v>123</v>
      </c>
    </row>
    <row r="43" spans="2:16" x14ac:dyDescent="0.5">
      <c r="D43" s="257"/>
      <c r="E43" s="257"/>
      <c r="F43" s="13"/>
      <c r="G43" s="28"/>
    </row>
    <row r="44" spans="2:16" x14ac:dyDescent="0.5">
      <c r="D44" s="257"/>
      <c r="E44" s="257"/>
      <c r="F44" s="13"/>
      <c r="G44" s="28"/>
    </row>
    <row r="45" spans="2:16" x14ac:dyDescent="0.5">
      <c r="D45" s="257"/>
      <c r="E45" s="257"/>
      <c r="F45" s="257"/>
      <c r="G45" s="14"/>
    </row>
    <row r="48" spans="2:16" x14ac:dyDescent="0.5">
      <c r="D48" s="257"/>
      <c r="E48" s="257"/>
      <c r="F48" s="257"/>
      <c r="G48" s="257"/>
      <c r="H48" s="257"/>
      <c r="I48" s="257"/>
      <c r="K48" s="257"/>
      <c r="L48" s="257"/>
      <c r="M48" s="257"/>
      <c r="N48" s="257"/>
      <c r="O48" s="257"/>
      <c r="P48" s="257"/>
    </row>
    <row r="52" spans="2:17" x14ac:dyDescent="0.5">
      <c r="D52" s="257"/>
      <c r="E52" s="257"/>
      <c r="F52" s="14"/>
      <c r="G52" s="28"/>
      <c r="I52" s="28"/>
    </row>
    <row r="53" spans="2:17" x14ac:dyDescent="0.5">
      <c r="D53" s="257"/>
      <c r="E53" s="257"/>
      <c r="F53" s="14"/>
      <c r="G53" s="28"/>
    </row>
    <row r="54" spans="2:17" x14ac:dyDescent="0.5">
      <c r="D54" s="257"/>
      <c r="E54" s="257"/>
      <c r="F54" s="14"/>
      <c r="G54" s="28"/>
    </row>
    <row r="55" spans="2:17" x14ac:dyDescent="0.5">
      <c r="D55" s="257"/>
      <c r="E55" s="257"/>
      <c r="F55" s="14"/>
      <c r="G55" s="28"/>
    </row>
    <row r="56" spans="2:17" x14ac:dyDescent="0.5">
      <c r="D56" s="257"/>
      <c r="E56" s="257"/>
      <c r="F56" s="13"/>
      <c r="G56" s="28"/>
      <c r="I56" s="28"/>
    </row>
    <row r="57" spans="2:17" x14ac:dyDescent="0.5">
      <c r="D57" s="257"/>
      <c r="E57" s="257"/>
      <c r="F57" s="13"/>
      <c r="G57" s="28"/>
    </row>
    <row r="58" spans="2:17" x14ac:dyDescent="0.5">
      <c r="D58" s="257"/>
      <c r="E58" s="257"/>
      <c r="F58" s="257"/>
      <c r="G58" s="14"/>
    </row>
    <row r="59" spans="2:17" x14ac:dyDescent="0.5">
      <c r="D59" s="28"/>
      <c r="G59" s="14"/>
      <c r="H59" s="28"/>
    </row>
    <row r="60" spans="2:17" ht="17.649999999999999" customHeight="1" x14ac:dyDescent="0.5"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</row>
    <row r="62" spans="2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4" spans="2:17" x14ac:dyDescent="0.5">
      <c r="B64" s="28"/>
      <c r="E64" s="28"/>
    </row>
    <row r="65" spans="3:17" x14ac:dyDescent="0.5">
      <c r="C65" s="28"/>
    </row>
    <row r="66" spans="3:17" x14ac:dyDescent="0.5">
      <c r="D66" s="257"/>
      <c r="E66" s="257"/>
      <c r="F66" s="257"/>
      <c r="G66" s="257"/>
      <c r="H66" s="257"/>
      <c r="I66" s="257"/>
      <c r="K66" s="257"/>
      <c r="L66" s="257"/>
      <c r="M66" s="257"/>
      <c r="N66" s="257"/>
      <c r="O66" s="257"/>
      <c r="P66" s="257"/>
    </row>
    <row r="69" spans="3:17" x14ac:dyDescent="0.5">
      <c r="D69" s="28"/>
    </row>
    <row r="70" spans="3:17" x14ac:dyDescent="0.5">
      <c r="D70" s="257"/>
      <c r="E70" s="257"/>
      <c r="F70" s="14"/>
      <c r="G70" s="28"/>
    </row>
    <row r="71" spans="3:17" x14ac:dyDescent="0.5">
      <c r="D71" s="257"/>
      <c r="E71" s="257"/>
      <c r="F71" s="14"/>
    </row>
    <row r="72" spans="3:17" x14ac:dyDescent="0.5">
      <c r="D72" s="257"/>
      <c r="E72" s="257"/>
      <c r="F72" s="13"/>
    </row>
    <row r="73" spans="3:17" x14ac:dyDescent="0.5">
      <c r="D73" s="257"/>
      <c r="E73" s="257"/>
      <c r="F73" s="13"/>
    </row>
    <row r="74" spans="3:17" x14ac:dyDescent="0.5">
      <c r="D74" s="257"/>
      <c r="E74" s="257"/>
      <c r="F74" s="257"/>
      <c r="G74" s="14"/>
    </row>
    <row r="75" spans="3:17" ht="17.649999999999999" customHeight="1" x14ac:dyDescent="0.5">
      <c r="Q75" s="34"/>
    </row>
    <row r="76" spans="3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3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</row>
    <row r="80" spans="3:17" x14ac:dyDescent="0.5">
      <c r="E80" s="14"/>
    </row>
    <row r="81" spans="4:16" x14ac:dyDescent="0.5">
      <c r="D81" s="257"/>
      <c r="E81" s="257"/>
      <c r="F81" s="257"/>
      <c r="G81" s="257"/>
      <c r="H81" s="257"/>
      <c r="I81" s="257"/>
      <c r="K81" s="257"/>
      <c r="L81" s="257"/>
      <c r="M81" s="257"/>
      <c r="N81" s="257"/>
      <c r="O81" s="257"/>
      <c r="P81" s="257"/>
    </row>
    <row r="85" spans="4:16" x14ac:dyDescent="0.5">
      <c r="D85" s="257"/>
      <c r="E85" s="257"/>
    </row>
    <row r="86" spans="4:16" x14ac:dyDescent="0.5">
      <c r="D86" s="257"/>
      <c r="E86" s="257"/>
      <c r="F86" s="14"/>
    </row>
    <row r="89" spans="4:16" x14ac:dyDescent="0.5">
      <c r="E89" s="14"/>
      <c r="F89" s="28"/>
      <c r="J89" s="28"/>
    </row>
    <row r="90" spans="4:16" x14ac:dyDescent="0.5">
      <c r="D90" s="257"/>
      <c r="E90" s="257"/>
      <c r="F90" s="257"/>
      <c r="G90" s="257"/>
      <c r="H90" s="257"/>
      <c r="I90" s="257"/>
      <c r="K90" s="257"/>
      <c r="L90" s="257"/>
      <c r="M90" s="257"/>
      <c r="N90" s="257"/>
      <c r="O90" s="257"/>
      <c r="P90" s="257"/>
    </row>
    <row r="94" spans="4:16" x14ac:dyDescent="0.5">
      <c r="D94" s="257"/>
      <c r="E94" s="257"/>
      <c r="F94" s="14"/>
      <c r="H94" s="28"/>
    </row>
    <row r="95" spans="4:16" x14ac:dyDescent="0.5">
      <c r="D95" s="257"/>
      <c r="E95" s="257"/>
      <c r="F95" s="14"/>
    </row>
    <row r="96" spans="4:16" x14ac:dyDescent="0.5">
      <c r="D96" s="257"/>
      <c r="E96" s="257"/>
      <c r="F96" s="13"/>
    </row>
    <row r="97" spans="2:17" x14ac:dyDescent="0.5">
      <c r="D97" s="257"/>
      <c r="E97" s="257"/>
      <c r="F97" s="257"/>
      <c r="G97" s="14"/>
    </row>
    <row r="98" spans="2:17" ht="18.75" customHeight="1" x14ac:dyDescent="0.5"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</row>
    <row r="103" spans="2:17" x14ac:dyDescent="0.5">
      <c r="B103" s="28"/>
    </row>
    <row r="104" spans="2:17" x14ac:dyDescent="0.5">
      <c r="C104" s="28"/>
      <c r="I104" s="14"/>
    </row>
    <row r="106" spans="2:17" x14ac:dyDescent="0.5">
      <c r="E106" s="14"/>
      <c r="F106" s="28"/>
    </row>
    <row r="108" spans="2:17" x14ac:dyDescent="0.5">
      <c r="D108" s="257"/>
      <c r="E108" s="257"/>
      <c r="F108" s="14"/>
    </row>
    <row r="110" spans="2:17" x14ac:dyDescent="0.5">
      <c r="E110" s="14"/>
    </row>
    <row r="113" spans="4:16" x14ac:dyDescent="0.5">
      <c r="E113" s="14"/>
      <c r="F113" s="28"/>
    </row>
    <row r="114" spans="4:16" x14ac:dyDescent="0.5">
      <c r="D114" s="28"/>
    </row>
    <row r="115" spans="4:16" x14ac:dyDescent="0.5">
      <c r="D115" s="257"/>
      <c r="E115" s="257"/>
      <c r="F115" s="14"/>
      <c r="G115" s="28"/>
      <c r="I115" s="28"/>
    </row>
    <row r="116" spans="4:16" x14ac:dyDescent="0.5">
      <c r="D116" s="257"/>
      <c r="E116" s="257"/>
      <c r="F116" s="14"/>
      <c r="G116" s="28"/>
    </row>
    <row r="117" spans="4:16" x14ac:dyDescent="0.5">
      <c r="D117" s="257"/>
      <c r="E117" s="257"/>
      <c r="F117" s="14"/>
      <c r="G117" s="28"/>
    </row>
    <row r="118" spans="4:16" x14ac:dyDescent="0.5">
      <c r="D118" s="257"/>
      <c r="E118" s="257"/>
      <c r="F118" s="14"/>
      <c r="G118" s="14"/>
      <c r="I118" s="28"/>
    </row>
    <row r="119" spans="4:16" x14ac:dyDescent="0.5">
      <c r="D119" s="258"/>
      <c r="E119" s="258"/>
      <c r="F119" s="258"/>
      <c r="G119" s="258"/>
      <c r="H119" s="258"/>
      <c r="I119" s="258"/>
      <c r="J119" s="258"/>
      <c r="K119" s="258"/>
      <c r="L119" s="258"/>
      <c r="M119" s="258"/>
      <c r="N119" s="258"/>
      <c r="O119" s="258"/>
      <c r="P119" s="258"/>
    </row>
    <row r="120" spans="4:16" x14ac:dyDescent="0.5">
      <c r="E120" s="14"/>
      <c r="F120" s="28"/>
    </row>
    <row r="121" spans="4:16" x14ac:dyDescent="0.5">
      <c r="D121" s="257"/>
      <c r="E121" s="257"/>
    </row>
    <row r="122" spans="4:16" x14ac:dyDescent="0.5">
      <c r="D122" s="257"/>
      <c r="E122" s="257"/>
      <c r="F122" s="14"/>
      <c r="H122" s="28"/>
    </row>
    <row r="123" spans="4:16" x14ac:dyDescent="0.5">
      <c r="D123" s="257"/>
      <c r="E123" s="257"/>
      <c r="F123" s="257"/>
      <c r="G123" s="257"/>
      <c r="H123" s="257"/>
      <c r="I123" s="257"/>
      <c r="K123" s="257"/>
      <c r="L123" s="257"/>
      <c r="M123" s="257"/>
      <c r="N123" s="257"/>
      <c r="O123" s="257"/>
      <c r="P123" s="257"/>
    </row>
    <row r="126" spans="4:16" x14ac:dyDescent="0.5">
      <c r="G126" s="14"/>
    </row>
    <row r="127" spans="4:16" x14ac:dyDescent="0.5">
      <c r="G127" s="14"/>
    </row>
    <row r="128" spans="4:16" x14ac:dyDescent="0.5">
      <c r="E128" s="14"/>
      <c r="G128" s="14"/>
    </row>
    <row r="130" spans="2:7" x14ac:dyDescent="0.5">
      <c r="E130" s="14"/>
    </row>
    <row r="132" spans="2:7" x14ac:dyDescent="0.5">
      <c r="G132" s="14"/>
    </row>
    <row r="135" spans="2:7" x14ac:dyDescent="0.5">
      <c r="E135" s="14"/>
    </row>
    <row r="136" spans="2:7" x14ac:dyDescent="0.5">
      <c r="D136" s="257"/>
      <c r="E136" s="257"/>
    </row>
    <row r="137" spans="2:7" x14ac:dyDescent="0.5">
      <c r="D137" s="257"/>
      <c r="E137" s="257"/>
      <c r="F137" s="14"/>
    </row>
    <row r="139" spans="2:7" x14ac:dyDescent="0.5">
      <c r="B139" s="36"/>
    </row>
    <row r="140" spans="2:7" x14ac:dyDescent="0.5">
      <c r="B140" s="36"/>
      <c r="C140" s="36"/>
      <c r="F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C144" s="36"/>
    </row>
    <row r="147" spans="2:16" x14ac:dyDescent="0.5">
      <c r="D147" s="28"/>
      <c r="K147" s="28"/>
    </row>
    <row r="148" spans="2:16" x14ac:dyDescent="0.5">
      <c r="B148" s="37"/>
      <c r="D148" s="257"/>
      <c r="E148" s="257"/>
      <c r="F148" s="257"/>
      <c r="G148" s="257"/>
      <c r="H148" s="257"/>
      <c r="I148" s="257"/>
      <c r="K148" s="257"/>
      <c r="L148" s="257"/>
      <c r="M148" s="257"/>
      <c r="N148" s="257"/>
      <c r="O148" s="257"/>
      <c r="P148" s="257"/>
    </row>
    <row r="149" spans="2:16" x14ac:dyDescent="0.5">
      <c r="C149" s="37"/>
    </row>
    <row r="153" spans="2:16" x14ac:dyDescent="0.5">
      <c r="D153" s="257"/>
      <c r="E153" s="257"/>
      <c r="F153" s="257"/>
      <c r="G153" s="257"/>
      <c r="H153" s="257"/>
      <c r="I153" s="257"/>
      <c r="K153" s="257"/>
      <c r="L153" s="257"/>
      <c r="M153" s="257"/>
      <c r="N153" s="257"/>
      <c r="O153" s="257"/>
      <c r="P153" s="257"/>
    </row>
    <row r="156" spans="2:16" x14ac:dyDescent="0.5">
      <c r="B156" s="28"/>
    </row>
    <row r="157" spans="2:16" x14ac:dyDescent="0.5">
      <c r="C157" s="28"/>
      <c r="D157" s="28"/>
      <c r="F157" s="38"/>
    </row>
    <row r="159" spans="2:16" x14ac:dyDescent="0.5"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</row>
    <row r="160" spans="2:16" x14ac:dyDescent="0.5">
      <c r="D160" s="257"/>
      <c r="E160" s="257"/>
      <c r="F160" s="257"/>
      <c r="G160" s="257"/>
      <c r="H160" s="257"/>
      <c r="I160" s="257"/>
      <c r="K160" s="257"/>
      <c r="L160" s="257"/>
      <c r="M160" s="257"/>
      <c r="N160" s="257"/>
      <c r="O160" s="257"/>
      <c r="P160" s="257"/>
    </row>
    <row r="164" spans="5:6" x14ac:dyDescent="0.5">
      <c r="E164" s="14"/>
      <c r="F164" s="28"/>
    </row>
  </sheetData>
  <sheetProtection algorithmName="SHA-512" hashValue="PC5aY9epipPsxISmezibAo8HBDXjrPLd9ynnSRdqEi+woRgduuaTQ71rveSz/6Hyov9NlQ7u8KLgAu2dO5umkQ==" saltValue="VvLiQTUJAE1rqoDi738ZQA==" spinCount="100000" sheet="1" objects="1" scenarios="1"/>
  <mergeCells count="54">
    <mergeCell ref="D160:I160"/>
    <mergeCell ref="K160:P160"/>
    <mergeCell ref="K123:P123"/>
    <mergeCell ref="D45:F45"/>
    <mergeCell ref="D48:I48"/>
    <mergeCell ref="K48:P48"/>
    <mergeCell ref="D52:E52"/>
    <mergeCell ref="K66:P66"/>
    <mergeCell ref="D70:E70"/>
    <mergeCell ref="D71:E71"/>
    <mergeCell ref="D72:E72"/>
    <mergeCell ref="D54:E54"/>
    <mergeCell ref="D108:E108"/>
    <mergeCell ref="D121:E121"/>
    <mergeCell ref="D115:E115"/>
    <mergeCell ref="D53:E53"/>
    <mergeCell ref="B1:P1"/>
    <mergeCell ref="K9:P9"/>
    <mergeCell ref="D44:E44"/>
    <mergeCell ref="B5:B6"/>
    <mergeCell ref="K5:P5"/>
    <mergeCell ref="D43:E43"/>
    <mergeCell ref="C5:I5"/>
    <mergeCell ref="C9:H9"/>
    <mergeCell ref="B34:G34"/>
    <mergeCell ref="D55:E55"/>
    <mergeCell ref="D73:E73"/>
    <mergeCell ref="D74:F74"/>
    <mergeCell ref="D56:E56"/>
    <mergeCell ref="D57:E57"/>
    <mergeCell ref="D58:F58"/>
    <mergeCell ref="D66:I66"/>
    <mergeCell ref="D81:I81"/>
    <mergeCell ref="D116:E116"/>
    <mergeCell ref="D119:P119"/>
    <mergeCell ref="D117:E117"/>
    <mergeCell ref="D118:E118"/>
    <mergeCell ref="K81:P81"/>
    <mergeCell ref="D86:E86"/>
    <mergeCell ref="D85:E85"/>
    <mergeCell ref="D97:F97"/>
    <mergeCell ref="D90:I90"/>
    <mergeCell ref="K90:P90"/>
    <mergeCell ref="D94:E94"/>
    <mergeCell ref="D95:E95"/>
    <mergeCell ref="D96:E96"/>
    <mergeCell ref="D136:E136"/>
    <mergeCell ref="D122:E122"/>
    <mergeCell ref="D123:I123"/>
    <mergeCell ref="D153:I153"/>
    <mergeCell ref="K153:P153"/>
    <mergeCell ref="D148:I148"/>
    <mergeCell ref="K148:P148"/>
    <mergeCell ref="D137:E13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6" max="6" width="29.1328125" bestFit="1" customWidth="1"/>
  </cols>
  <sheetData>
    <row r="1" spans="1:9" x14ac:dyDescent="0.35">
      <c r="C1" s="75" t="s">
        <v>5</v>
      </c>
      <c r="D1" s="73">
        <f>SUM(D4:D46)</f>
        <v>0</v>
      </c>
    </row>
    <row r="2" spans="1:9" s="26" customFormat="1" ht="13.15" thickBot="1" x14ac:dyDescent="0.4"/>
    <row r="3" spans="1:9" s="26" customFormat="1" x14ac:dyDescent="0.35">
      <c r="A3" s="268" t="s">
        <v>235</v>
      </c>
      <c r="B3" s="268"/>
      <c r="C3" s="268"/>
      <c r="D3" s="268"/>
      <c r="F3" s="269" t="s">
        <v>236</v>
      </c>
      <c r="G3" s="270"/>
      <c r="H3" s="271"/>
    </row>
    <row r="4" spans="1:9" x14ac:dyDescent="0.35">
      <c r="A4" s="268" t="s">
        <v>230</v>
      </c>
      <c r="B4" s="268"/>
      <c r="C4" s="268"/>
      <c r="D4" s="73" t="s">
        <v>231</v>
      </c>
      <c r="F4" s="78" t="s">
        <v>230</v>
      </c>
      <c r="G4" s="76" t="s">
        <v>120</v>
      </c>
      <c r="H4" s="79" t="s">
        <v>126</v>
      </c>
    </row>
    <row r="5" spans="1:9" x14ac:dyDescent="0.35">
      <c r="A5" s="268" t="s">
        <v>293</v>
      </c>
      <c r="B5" s="268"/>
      <c r="C5" s="268"/>
      <c r="D5" s="73" t="s">
        <v>298</v>
      </c>
      <c r="F5" s="78" t="s">
        <v>273</v>
      </c>
      <c r="G5" s="77">
        <v>40</v>
      </c>
      <c r="H5" s="79">
        <v>2</v>
      </c>
    </row>
    <row r="6" spans="1:9" x14ac:dyDescent="0.35">
      <c r="A6" s="268"/>
      <c r="B6" s="268"/>
      <c r="C6" s="268"/>
      <c r="D6" s="74"/>
      <c r="F6" s="78" t="s">
        <v>299</v>
      </c>
      <c r="G6" s="77">
        <v>40</v>
      </c>
      <c r="H6" s="79">
        <v>1</v>
      </c>
      <c r="I6">
        <v>2</v>
      </c>
    </row>
    <row r="7" spans="1:9" x14ac:dyDescent="0.35">
      <c r="A7" s="268"/>
      <c r="B7" s="268"/>
      <c r="C7" s="268"/>
      <c r="D7" s="74"/>
      <c r="F7" s="78" t="s">
        <v>292</v>
      </c>
      <c r="G7" s="77">
        <v>40</v>
      </c>
      <c r="H7" s="79">
        <v>2</v>
      </c>
    </row>
    <row r="8" spans="1:9" x14ac:dyDescent="0.35">
      <c r="A8" s="268"/>
      <c r="B8" s="268"/>
      <c r="C8" s="268"/>
      <c r="D8" s="74"/>
      <c r="F8" s="78"/>
      <c r="G8" s="77"/>
      <c r="H8" s="79"/>
    </row>
    <row r="9" spans="1:9" x14ac:dyDescent="0.35">
      <c r="A9" s="268"/>
      <c r="B9" s="268"/>
      <c r="C9" s="268"/>
      <c r="D9" s="73"/>
      <c r="F9" s="78"/>
      <c r="G9" s="77"/>
      <c r="H9" s="79"/>
    </row>
    <row r="10" spans="1:9" x14ac:dyDescent="0.35">
      <c r="A10" s="268"/>
      <c r="B10" s="268"/>
      <c r="C10" s="268"/>
      <c r="D10" s="74"/>
      <c r="F10" s="78"/>
      <c r="G10" s="77"/>
      <c r="H10" s="79"/>
    </row>
    <row r="11" spans="1:9" x14ac:dyDescent="0.35">
      <c r="A11" s="268"/>
      <c r="B11" s="268"/>
      <c r="C11" s="268"/>
      <c r="D11" s="73"/>
      <c r="F11" s="78"/>
      <c r="G11" s="77"/>
      <c r="H11" s="79"/>
    </row>
    <row r="12" spans="1:9" x14ac:dyDescent="0.35">
      <c r="A12" s="268"/>
      <c r="B12" s="268"/>
      <c r="C12" s="268"/>
      <c r="D12" s="73"/>
      <c r="F12" s="78"/>
      <c r="G12" s="77"/>
      <c r="H12" s="79"/>
    </row>
    <row r="13" spans="1:9" x14ac:dyDescent="0.35">
      <c r="A13" s="268"/>
      <c r="B13" s="268"/>
      <c r="C13" s="268"/>
      <c r="D13" s="73"/>
      <c r="F13" s="78"/>
      <c r="G13" s="77"/>
      <c r="H13" s="79"/>
    </row>
    <row r="14" spans="1:9" ht="13.15" thickBot="1" x14ac:dyDescent="0.4">
      <c r="A14" s="268"/>
      <c r="B14" s="268"/>
      <c r="C14" s="268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vWVzFFt2AqmUYLN21tPwRekrLIN8pUJBYZajcH7ZfTlTU2XMzklJiawDBj6wlbJ2GnL26/z9LY3wGr4y5p6FrQ==" saltValue="SAgvuMAERT1aVpk0CI3FN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2" t="s">
        <v>29</v>
      </c>
      <c r="P1" s="272" t="s">
        <v>32</v>
      </c>
      <c r="Q1" s="272" t="s">
        <v>33</v>
      </c>
    </row>
    <row r="2" spans="1:21" x14ac:dyDescent="0.5">
      <c r="I2" s="272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2"/>
      <c r="Q2" s="272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186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187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188</v>
      </c>
      <c r="U6" s="2">
        <v>20</v>
      </c>
    </row>
    <row r="7" spans="1:21" x14ac:dyDescent="0.5">
      <c r="D7" s="1" t="s">
        <v>26</v>
      </c>
      <c r="T7" s="1" t="s">
        <v>189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3" t="s">
        <v>48</v>
      </c>
      <c r="K11" s="273"/>
      <c r="L11" s="273"/>
      <c r="M11" s="273"/>
      <c r="N11" s="273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38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172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173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174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175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176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177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