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3091A91E-891C-4256-8B49-FEFD73885C7D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<sst xmlns="http://schemas.openxmlformats.org/spreadsheetml/2006/main" count="576" uniqueCount="266">
  <si>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</si>
  <si>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</si>
  <si>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</si>
  <si>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</si>
  <si>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</si>
  <si>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</si>
  <si>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</si>
  <si>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</si>
  <si>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</si>
  <si>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</si>
  <si>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</si>
  <si>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</si>
  <si>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</si>
  <si>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</si>
  <si>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</si>
  <si>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</si>
  <si>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</si>
  <si>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</si>
  <si>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</si>
  <si>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</si>
  <si>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</si>
  <si>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</si>
  <si>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</si>
  <si>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</si>
  <si>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</si>
  <si>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</si>
  <si>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</si>
  <si>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</si>
  <si>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</si>
  <si>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</si>
  <si>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</si>
  <si>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</si>
  <si>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</si>
  <si>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</si>
  <si>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</si>
  <si>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</si>
  <si>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</si>
  <si>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</si>
  <si>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</si>
  <si>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</si>
  <si>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</si>
  <si>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</si>
  <si>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</si>
  <si>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</si>
  <si>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</si>
  <si>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</si>
  <si>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</si>
  <si>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</si>
  <si>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</si>
  <si>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</si>
  <si>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</si>
  <si>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</si>
  <si>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</si>
  <si>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</si>
  <si>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</si>
  <si>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</si>
  <si>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</si>
  <si>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</si>
  <si>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</si>
  <si>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</si>
  <si>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</si>
  <si>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</si>
  <si>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</si>
  <si>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</si>
  <si>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</si>
  <si>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</si>
  <si>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</si>
  <si>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</si>
  <si>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</si>
  <si>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</si>
  <si>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</si>
  <si>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</si>
  <si>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</si>
  <si>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</si>
  <si>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</si>
  <si>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</si>
  <si>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</si>
  <si>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</si>
  <si>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</si>
  <si>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</si>
  <si>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</si>
  <si>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</si>
  <si>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</si>
  <si>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</si>
  <si>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</si>
  <si>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</si>
  <si>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</si>
  <si>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</si>
  <si>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</si>
  <si>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</si>
  <si>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</si>
  <si>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</si>
  <si>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</si>
  <si>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</si>
  <si>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</si>
  <si>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</si>
  <si>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</si>
  <si>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</si>
  <si>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</si>
  <si>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</si>
  <si>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</si>
  <si>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</si>
  <si>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</si>
  <si>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</si>
  <si>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</si>
  <si>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</si>
  <si>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</si>
  <si>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</si>
  <si>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</si>
  <si>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</si>
  <si>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</si>
  <si>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</si>
  <si>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</si>
  <si>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</si>
  <si>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</si>
  <si>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</si>
  <si>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</si>
  <si>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</si>
  <si>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</si>
  <si>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</si>
  <si>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</si>
  <si>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</si>
  <si>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</si>
  <si>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</si>
  <si>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</si>
  <si>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</si>
  <si>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</si>
  <si>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</si>
  <si>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</si>
  <si>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</si>
  <si>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</si>
  <si>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</si>
  <si>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</si>
  <si>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</si>
  <si>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</si>
  <si>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</si>
  <si>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</si>
  <si>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</si>
  <si>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</si>
  <si>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</si>
  <si>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</si>
  <si>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</si>
  <si>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</si>
  <si>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</si>
  <si>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</si>
  <si>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</si>
  <si>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</si>
  <si>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</si>
  <si>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</si>
  <si>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</si>
  <si>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</si>
  <si>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</si>
  <si>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</si>
  <si>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</si>
  <si>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</si>
  <si>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</si>
  <si>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</si>
  <si>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</si>
  <si>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</si>
  <si>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</si>
  <si>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</si>
  <si>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</si>
  <si>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</si>
  <si>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</si>
  <si>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</si>
  <si>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</si>
  <si>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</si>
  <si>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</si>
  <si>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</si>
  <si>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</si>
  <si>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</si>
  <si>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</si>
  <si>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</si>
  <si>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</si>
  <si>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</si>
  <si>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</si>
  <si>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</si>
  <si>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</si>
  <si>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</si>
  <si>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</si>
  <si>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</si>
  <si>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</si>
  <si>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</si>
  <si>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</si>
  <si>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</si>
  <si>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</si>
  <si>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</si>
  <si>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</si>
  <si>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</si>
  <si>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</si>
  <si>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</si>
  <si>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</si>
  <si>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</si>
  <si>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</si>
  <si>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</si>
  <si>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</si>
  <si>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</si>
  <si>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</si>
  <si>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</si>
  <si>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</si>
  <si>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</si>
  <si>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</si>
  <si>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</si>
  <si>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</si>
  <si>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</si>
  <si>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</si>
  <si>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</si>
  <si>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</si>
  <si>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</si>
  <si>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</si>
  <si>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</si>
  <si>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</si>
  <si>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</si>
  <si>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</si>
  <si>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</si>
  <si>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</si>
  <si>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</si>
  <si>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</si>
  <si>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</si>
  <si>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</si>
  <si>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</si>
  <si>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</si>
  <si>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</si>
  <si>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</si>
  <si>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</si>
  <si>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</si>
  <si>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</si>
  <si>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</si>
  <si>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</si>
  <si>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</si>
  <si>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</si>
  <si>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</si>
  <si>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</si>
  <si>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</si>
  <si>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</si>
  <si>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</si>
  <si>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</si>
  <si>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</si>
  <si>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</si>
  <si>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</si>
  <si>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</si>
  <si>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</si>
  <si>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</si>
  <si>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</si>
  <si>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</si>
  <si>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</si>
  <si>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</si>
  <si>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</si>
  <si>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Expansión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</si>
  <si>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</si>
  <si>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</si>
  <si>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</si>
  <si>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</si>
  <si>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</si>
  <si>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</si>
  <si>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</si>
  <si>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</si>
  <si>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</si>
  <si>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</si>
  <si>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</si>
  <si>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</si>
  <si>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</si>
  <si>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Sicilia (hasta 1893)</t>
  </si>
  <si>
    <t>Bélgica (hasta 1893)</t>
  </si>
  <si>
    <t>Abisinia (hasta 1896)</t>
  </si>
  <si>
    <t>Massawa- Gondar - Addis Abeba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</si>
</sst>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1892</v>
      </c>
    </row>
    <row r="4" spans="1:16" ht="18" thickBot="1" x14ac:dyDescent="0.55000000000000004">
      <c r="A4" s="87" t="s">
        <v>62</v>
      </c>
      <c r="B4" s="87">
        <v>30.39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25.880000000000003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90">
        <v>38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168.22000000000003</v>
      </c>
      <c r="C8" s="92"/>
      <c r="G8" s="204" t="s">
        <v>79</v>
      </c>
      <c r="H8" s="204"/>
      <c r="I8" s="90">
        <f>I7*J13</f>
        <v>9.5</v>
      </c>
    </row>
    <row r="9" spans="1:16" ht="18" thickBot="1" x14ac:dyDescent="0.55000000000000004">
      <c r="A9" s="87" t="s">
        <v>73</v>
      </c>
      <c r="B9" s="90">
        <f>Colonias!C7+Ferrocarriles!D1</f>
        <v>8</v>
      </c>
      <c r="C9" s="92"/>
      <c r="H9" s="87" t="s">
        <v>2</v>
      </c>
      <c r="I9" s="90">
        <f>SUM(I7:I8)</f>
        <v>47.5</v>
      </c>
      <c r="J9" s="93"/>
    </row>
    <row r="10" spans="1:16" ht="18" thickBot="1" x14ac:dyDescent="0.55000000000000004">
      <c r="A10" s="87" t="s">
        <v>74</v>
      </c>
      <c r="B10" s="90">
        <v>4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205"/>
    </row>
    <row r="12" spans="1:16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6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148.22000000000003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10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10</v>
      </c>
      <c r="D23" s="87">
        <f t="shared" si="0"/>
        <v>3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22</v>
      </c>
      <c r="K23" s="100">
        <f>J23+(J23*0.3)</f>
        <v>28.6</v>
      </c>
      <c r="L23" s="100">
        <f>J23-(J23*0.3)</f>
        <v>15.4</v>
      </c>
      <c r="M23" s="100">
        <f>J23-(J23*0.2)</f>
        <v>17.600000000000001</v>
      </c>
      <c r="N23" s="100">
        <f>J23+(J23*0.2)</f>
        <v>26.4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4.3414285714285716</v>
      </c>
      <c r="C24" s="101">
        <f>ROUNDUP(B4/(VLOOKUP(B6,Econ_chart,3,FALSE)),0)</f>
        <v>12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-4.3414285714285716</v>
      </c>
      <c r="C25" s="103">
        <f>C21-C24</f>
        <v>-2</v>
      </c>
      <c r="D25" s="104">
        <f>D23</f>
        <v>3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262</v>
      </c>
      <c r="B41" s="148"/>
      <c r="C41" s="148"/>
      <c r="D41" s="148"/>
      <c r="E41" s="148"/>
      <c r="F41" s="148"/>
      <c r="G41" s="148"/>
      <c r="H41" s="148">
        <v>10</v>
      </c>
      <c r="J41" s="148"/>
      <c r="K41" s="148">
        <v>1</v>
      </c>
      <c r="L41" s="148"/>
      <c r="M41" s="148"/>
      <c r="N41" s="148"/>
      <c r="O41" s="148"/>
      <c r="P41" s="148"/>
    </row>
    <row r="42" spans="1:16" x14ac:dyDescent="0.5">
      <c r="A42" s="147" t="s">
        <v>263</v>
      </c>
      <c r="B42" s="148"/>
      <c r="C42" s="148"/>
      <c r="D42" s="148"/>
      <c r="E42" s="148"/>
      <c r="F42" s="148"/>
      <c r="G42" s="148"/>
      <c r="H42" s="148">
        <v>30</v>
      </c>
      <c r="J42" s="148"/>
      <c r="K42" s="148"/>
      <c r="L42" s="148"/>
      <c r="M42" s="148">
        <v>3</v>
      </c>
      <c r="N42" s="148"/>
      <c r="O42" s="148"/>
      <c r="P42" s="148"/>
    </row>
    <row r="43" spans="1:16" x14ac:dyDescent="0.5">
      <c r="A43" s="147" t="s">
        <v>264</v>
      </c>
      <c r="B43" s="148">
        <v>1</v>
      </c>
      <c r="C43" s="148"/>
      <c r="D43" s="148"/>
      <c r="E43" s="148"/>
      <c r="F43" s="148"/>
      <c r="G43" s="148"/>
      <c r="H43" s="149">
        <v>10</v>
      </c>
      <c r="J43" s="148"/>
      <c r="K43" s="148"/>
      <c r="L43" s="148"/>
      <c r="M43" s="148">
        <v>1</v>
      </c>
      <c r="N43" s="148"/>
      <c r="O43" s="148"/>
      <c r="P43" s="148">
        <v>21</v>
      </c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1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-50</v>
      </c>
      <c r="I53" s="87" t="s">
        <v>2</v>
      </c>
      <c r="J53" s="108">
        <f t="shared" ref="J53:O53" si="8">SUM(J41:J52)</f>
        <v>0</v>
      </c>
      <c r="K53" s="108">
        <f t="shared" si="8"/>
        <v>1</v>
      </c>
      <c r="L53" s="108">
        <f t="shared" si="8"/>
        <v>0</v>
      </c>
      <c r="M53" s="108">
        <f t="shared" si="8"/>
        <v>4</v>
      </c>
      <c r="N53" s="108">
        <f t="shared" si="8"/>
        <v>0</v>
      </c>
      <c r="O53" s="108">
        <f t="shared" si="8"/>
        <v>0</v>
      </c>
      <c r="P53" s="113">
        <f xml:space="preserve"> SUM(P41:P51)-P52</f>
        <v>21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-5.3414285714285716</v>
      </c>
      <c r="C56" s="101">
        <f t="shared" si="9"/>
        <v>-1</v>
      </c>
      <c r="D56" s="101">
        <f t="shared" si="9"/>
        <v>3</v>
      </c>
      <c r="E56" s="101">
        <f t="shared" si="9"/>
        <v>0</v>
      </c>
      <c r="F56" s="101">
        <f t="shared" si="9"/>
        <v>0</v>
      </c>
      <c r="G56" s="101">
        <f t="shared" si="9"/>
        <v>0</v>
      </c>
      <c r="H56" s="116">
        <f>B15+H53+P53</f>
        <v>119.22000000000003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-5.3414285714285716</v>
      </c>
      <c r="C64" s="101">
        <f>C56</f>
        <v>-1</v>
      </c>
      <c r="D64" s="101">
        <f>D56-D60</f>
        <v>3</v>
      </c>
      <c r="E64" s="101">
        <f>E63+E56</f>
        <v>0</v>
      </c>
      <c r="F64" s="101">
        <f>F56-F61-F62</f>
        <v>0</v>
      </c>
      <c r="G64" s="101">
        <f>G56-G61-G62</f>
        <v>0</v>
      </c>
      <c r="H64" s="116">
        <f>H56-H63</f>
        <v>119.22000000000003</v>
      </c>
      <c r="I64" s="87">
        <f>B23-I60-I61-I62-I63</f>
        <v>6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0.2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119.22000000000003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119.22000000000003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9" t="s">
        <v>151</v>
      </c>
      <c r="L125" s="197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0"/>
      <c r="L126" s="198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1"/>
      <c r="B135" s="20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1"/>
      <c r="B136" s="20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9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0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9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0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181"/>
      <c r="B174" s="182"/>
      <c r="C174" s="182"/>
      <c r="D174" s="182"/>
      <c r="E174" s="182"/>
      <c r="F174" s="183"/>
      <c r="G174" s="160"/>
    </row>
    <row r="175" spans="1:14" ht="18" thickBot="1" x14ac:dyDescent="0.55000000000000004">
      <c r="A175" s="181"/>
      <c r="B175" s="182"/>
      <c r="C175" s="182"/>
      <c r="D175" s="182"/>
      <c r="E175" s="182"/>
      <c r="F175" s="183"/>
      <c r="G175" s="160"/>
    </row>
    <row r="176" spans="1:14" ht="19.5" customHeight="1" thickBot="1" x14ac:dyDescent="0.55000000000000004">
      <c r="A176" s="181"/>
      <c r="B176" s="182"/>
      <c r="C176" s="182"/>
      <c r="D176" s="182"/>
      <c r="E176" s="182"/>
      <c r="F176" s="183"/>
      <c r="G176" s="160"/>
    </row>
    <row r="177" spans="1:7" ht="19.5" customHeight="1" thickBot="1" x14ac:dyDescent="0.55000000000000004">
      <c r="A177" s="181"/>
      <c r="B177" s="182"/>
      <c r="C177" s="182"/>
      <c r="D177" s="182"/>
      <c r="E177" s="182"/>
      <c r="F177" s="183"/>
      <c r="G177" s="160"/>
    </row>
    <row r="178" spans="1:7" ht="19.5" customHeight="1" thickBot="1" x14ac:dyDescent="0.55000000000000004">
      <c r="A178" s="181"/>
      <c r="B178" s="182"/>
      <c r="C178" s="182"/>
      <c r="D178" s="182"/>
      <c r="E178" s="182"/>
      <c r="F178" s="183"/>
      <c r="G178" s="160"/>
    </row>
    <row r="179" spans="1:7" ht="19.5" customHeight="1" thickBot="1" x14ac:dyDescent="0.55000000000000004">
      <c r="A179" s="181"/>
      <c r="B179" s="182"/>
      <c r="C179" s="182"/>
      <c r="D179" s="182"/>
      <c r="E179" s="182"/>
      <c r="F179" s="183"/>
      <c r="G179" s="160"/>
    </row>
    <row r="180" spans="1:7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7" ht="19.5" customHeight="1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7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7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7" ht="18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7" ht="18" thickBot="1" x14ac:dyDescent="0.55000000000000004">
      <c r="A185" s="184"/>
      <c r="B185" s="185"/>
      <c r="C185" s="185"/>
      <c r="D185" s="185"/>
      <c r="E185" s="185"/>
      <c r="F185" s="186"/>
      <c r="G185" s="160"/>
    </row>
    <row r="186" spans="1:7" ht="18" thickBot="1" x14ac:dyDescent="0.55000000000000004">
      <c r="A186" s="181"/>
      <c r="B186" s="182"/>
      <c r="C186" s="182"/>
      <c r="D186" s="182"/>
      <c r="E186" s="182"/>
      <c r="F186" s="183"/>
      <c r="G186" s="163"/>
    </row>
    <row r="187" spans="1:7" ht="18" thickBot="1" x14ac:dyDescent="0.55000000000000004">
      <c r="A187" s="181"/>
      <c r="B187" s="182"/>
      <c r="C187" s="182"/>
      <c r="D187" s="182"/>
      <c r="E187" s="182"/>
      <c r="F187" s="183"/>
      <c r="G187" s="163"/>
    </row>
    <row r="188" spans="1:7" ht="18" thickBot="1" x14ac:dyDescent="0.55000000000000004">
      <c r="A188" s="194"/>
      <c r="B188" s="195"/>
      <c r="C188" s="195"/>
      <c r="D188" s="195"/>
      <c r="E188" s="195"/>
      <c r="F188" s="196"/>
      <c r="G188" s="163"/>
    </row>
    <row r="189" spans="1:7" ht="18" thickBot="1" x14ac:dyDescent="0.55000000000000004">
      <c r="A189" s="181"/>
      <c r="B189" s="182"/>
      <c r="C189" s="182"/>
      <c r="D189" s="182"/>
      <c r="E189" s="182"/>
      <c r="F189" s="183"/>
      <c r="G189" s="160"/>
    </row>
    <row r="190" spans="1:7" ht="18" thickBot="1" x14ac:dyDescent="0.55000000000000004">
      <c r="A190" s="181"/>
      <c r="B190" s="182"/>
      <c r="C190" s="182"/>
      <c r="D190" s="182"/>
      <c r="E190" s="182"/>
      <c r="F190" s="183"/>
      <c r="G190" s="160"/>
    </row>
    <row r="191" spans="1:7" ht="18" thickBot="1" x14ac:dyDescent="0.55000000000000004">
      <c r="A191" s="194"/>
      <c r="B191" s="195"/>
      <c r="C191" s="195"/>
      <c r="D191" s="195"/>
      <c r="E191" s="195"/>
      <c r="F191" s="196"/>
      <c r="G191" s="160"/>
    </row>
    <row r="192" spans="1:7" ht="18" thickBot="1" x14ac:dyDescent="0.55000000000000004">
      <c r="A192" s="181"/>
      <c r="B192" s="195"/>
      <c r="C192" s="195"/>
      <c r="D192" s="195"/>
      <c r="E192" s="195"/>
      <c r="F192" s="196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119.22000000000003</v>
      </c>
    </row>
  </sheetData>
  <sheetProtection algorithmName="SHA-512" hashValue="wp238zHONGCRfoM6e2G3ZKkn8VoASGgsy4CjrtjPZcdQi28peS5UYS66Gt2Jc5rTmNzIcYAndjvs0WloiphV7w==" saltValue="scpmBQbqGOZPyPGXIL8Lkg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8" t="s">
        <v>160</v>
      </c>
      <c r="C6" s="248" t="s">
        <v>148</v>
      </c>
      <c r="D6" s="248" t="s">
        <v>189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192</v>
      </c>
      <c r="O6" s="212"/>
      <c r="P6" s="212"/>
    </row>
    <row r="7" spans="1:20" ht="15.75" thickBot="1" x14ac:dyDescent="0.5">
      <c r="A7" s="51" t="s">
        <v>181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193</v>
      </c>
      <c r="O8" s="7"/>
      <c r="P8" s="52">
        <f>B37/1000000</f>
        <v>4.0999999999999996</v>
      </c>
    </row>
    <row r="9" spans="1:20" ht="15.75" thickBot="1" x14ac:dyDescent="0.5">
      <c r="A9" s="179" t="s">
        <v>246</v>
      </c>
      <c r="B9" s="49">
        <v>20000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249</v>
      </c>
      <c r="B10" s="49">
        <v>2500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251</v>
      </c>
      <c r="B11" s="49">
        <v>2500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252</v>
      </c>
      <c r="C28" s="45"/>
      <c r="D28" s="168"/>
      <c r="E28" s="166"/>
      <c r="F28" s="167" t="s">
        <v>212</v>
      </c>
      <c r="G28" s="53">
        <f>B25+D25+H25+J25</f>
        <v>26</v>
      </c>
      <c r="I28" s="55" t="s">
        <v>108</v>
      </c>
      <c r="J28" s="59">
        <f>Econ!G196</f>
        <v>119.22000000000003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253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200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201</v>
      </c>
      <c r="B35" s="60">
        <f>(B25+H25+J25)*200000</f>
        <v>3000000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254</v>
      </c>
      <c r="B50" s="63">
        <v>9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255</v>
      </c>
      <c r="B51" s="65" t="s">
        <v>6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256</v>
      </c>
      <c r="E63" s="49"/>
      <c r="F63" s="58" t="s">
        <v>211</v>
      </c>
      <c r="G63" s="53">
        <f>B64*0.5</f>
        <v>41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214</v>
      </c>
      <c r="B65" s="59">
        <f>ROUNDUP((B64/20)*5,0)</f>
        <v>21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164</v>
      </c>
      <c r="B66" s="55">
        <f>ROUNDUP((B64/20)*0.1,2)</f>
        <v>0.41</v>
      </c>
      <c r="C66" s="20" t="s">
        <v>55</v>
      </c>
      <c r="E66" s="212" t="s">
        <v>216</v>
      </c>
      <c r="F66" s="212"/>
      <c r="G66" s="212"/>
      <c r="H66" s="49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119.22000000000003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222</v>
      </c>
      <c r="B77" s="49">
        <v>5</v>
      </c>
      <c r="C77" s="69"/>
      <c r="D77" s="241" t="s">
        <v>257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6" t="s">
        <v>258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222</v>
      </c>
      <c r="B87" s="57">
        <v>8</v>
      </c>
      <c r="C87" s="69"/>
      <c r="D87" s="208" t="s">
        <v>261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5</v>
      </c>
      <c r="C91" s="70">
        <f>B91*2</f>
        <v>10</v>
      </c>
      <c r="D91" s="228" t="s">
        <v>259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34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119.22000000000003</v>
      </c>
    </row>
  </sheetData>
  <sheetProtection algorithmName="SHA-512" hashValue="qX1kNT5uZojvvKVUCRo3KLqaln/RdOlfAMZXgajNpmgwf75RGBl3k4c6pJDoMclG3I8qaO6jGin0ONCOwYbraA==" saltValue="8widMgL54dglmUnmZp4Ma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8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249</v>
      </c>
      <c r="C11" s="71">
        <v>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250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260</v>
      </c>
      <c r="D35" s="42" t="s">
        <v>260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260</v>
      </c>
      <c r="D36" s="42" t="s">
        <v>260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260</v>
      </c>
      <c r="D37" s="42" t="s">
        <v>260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260</v>
      </c>
      <c r="D38" s="42" t="s">
        <v>260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UGoYXLNCSvLJV10yX0bBpDmgOn6BYTBUtPBjztkuy3MU09f8gZcLd2/zYzPG1DiUQ8zr2Il/4xYIxFWOOF28Iw==" saltValue="zokVRVDfgrymfYqR3gtkLA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0</v>
      </c>
    </row>
    <row r="2" spans="1:9" s="26" customFormat="1" ht="13.15" thickBot="1" x14ac:dyDescent="0.4"/>
    <row r="3" spans="1:9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9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9" x14ac:dyDescent="0.35">
      <c r="A5" s="261"/>
      <c r="B5" s="261"/>
      <c r="C5" s="261"/>
      <c r="D5" s="73"/>
      <c r="F5" s="78" t="s">
        <v>248</v>
      </c>
      <c r="G5" s="77">
        <v>40</v>
      </c>
      <c r="H5" s="79">
        <v>2</v>
      </c>
    </row>
    <row r="6" spans="1:9" x14ac:dyDescent="0.35">
      <c r="A6" s="261"/>
      <c r="B6" s="261"/>
      <c r="C6" s="261"/>
      <c r="D6" s="74"/>
      <c r="F6" s="78" t="s">
        <v>265</v>
      </c>
      <c r="G6" s="77">
        <v>40</v>
      </c>
      <c r="H6" s="79">
        <v>1</v>
      </c>
      <c r="I6">
        <v>2</v>
      </c>
    </row>
    <row r="7" spans="1:9" x14ac:dyDescent="0.35">
      <c r="A7" s="261"/>
      <c r="B7" s="261"/>
      <c r="C7" s="261"/>
      <c r="D7" s="74"/>
      <c r="F7" s="78"/>
      <c r="G7" s="77"/>
      <c r="H7" s="79"/>
    </row>
    <row r="8" spans="1:9" x14ac:dyDescent="0.35">
      <c r="A8" s="261"/>
      <c r="B8" s="261"/>
      <c r="C8" s="261"/>
      <c r="D8" s="74"/>
      <c r="F8" s="78"/>
      <c r="G8" s="77"/>
      <c r="H8" s="79"/>
    </row>
    <row r="9" spans="1:9" x14ac:dyDescent="0.35">
      <c r="A9" s="261"/>
      <c r="B9" s="261"/>
      <c r="C9" s="261"/>
      <c r="D9" s="73"/>
      <c r="F9" s="78"/>
      <c r="G9" s="77"/>
      <c r="H9" s="79"/>
    </row>
    <row r="10" spans="1:9" x14ac:dyDescent="0.35">
      <c r="A10" s="261"/>
      <c r="B10" s="261"/>
      <c r="C10" s="261"/>
      <c r="D10" s="74"/>
      <c r="F10" s="78"/>
      <c r="G10" s="77"/>
      <c r="H10" s="79"/>
    </row>
    <row r="11" spans="1:9" x14ac:dyDescent="0.35">
      <c r="A11" s="261"/>
      <c r="B11" s="261"/>
      <c r="C11" s="261"/>
      <c r="D11" s="73"/>
      <c r="F11" s="78"/>
      <c r="G11" s="77"/>
      <c r="H11" s="79"/>
    </row>
    <row r="12" spans="1:9" x14ac:dyDescent="0.35">
      <c r="A12" s="261"/>
      <c r="B12" s="261"/>
      <c r="C12" s="261"/>
      <c r="D12" s="73"/>
      <c r="F12" s="78"/>
      <c r="G12" s="77"/>
      <c r="H12" s="79"/>
    </row>
    <row r="13" spans="1:9" x14ac:dyDescent="0.35">
      <c r="A13" s="261"/>
      <c r="B13" s="261"/>
      <c r="C13" s="261"/>
      <c r="D13" s="73"/>
      <c r="F13" s="78"/>
      <c r="G13" s="77"/>
      <c r="H13" s="79"/>
    </row>
    <row r="14" spans="1:9" ht="13.15" thickBot="1" x14ac:dyDescent="0.4">
      <c r="A14" s="261"/>
      <c r="B14" s="261"/>
      <c r="C14" s="261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X5piq/cCVefrCYp1YftgjCIoo5enP1J2mP/kxmbQCi0Ggbfp0aUixCsscuzkKYy5CjK7TRxgK8G7htVFaExy7g==" saltValue="IknBMnql6v6gUMyA6HwcM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2020-11-04T01:21:24Z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